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15" yWindow="480" windowWidth="11340" windowHeight="5790" activeTab="4"/>
  </bookViews>
  <sheets>
    <sheet name="MR BP 1 bw. WPC" sheetId="35" r:id="rId1"/>
    <sheet name="MR BP 1_2 bw. WPC" sheetId="33" r:id="rId2"/>
    <sheet name="MR BP 1_2 bw. AWPC" sheetId="32" r:id="rId3"/>
    <sheet name="MR BP 1 bw. AWPC" sheetId="34" r:id="rId4"/>
    <sheet name="WPC SC" sheetId="31" r:id="rId5"/>
    <sheet name="AWPC SC" sheetId="30" r:id="rId6"/>
    <sheet name="AWPC m.ply DL" sheetId="29" r:id="rId7"/>
    <sheet name="AWPC s.ply DL" sheetId="28" r:id="rId8"/>
    <sheet name="AWPC raw DL" sheetId="27" r:id="rId9"/>
    <sheet name="WPC m.ply DL" sheetId="26" r:id="rId10"/>
    <sheet name="WPC s.ply DL" sheetId="25" r:id="rId11"/>
    <sheet name="WPC raw DL" sheetId="24" r:id="rId12"/>
    <sheet name="AWPC mp. soft.eq.BP" sheetId="23" r:id="rId13"/>
    <sheet name="AWPC st. soft eq. BP" sheetId="22" r:id="rId14"/>
    <sheet name="AWPC s.ply BP" sheetId="21" r:id="rId15"/>
    <sheet name="AWPC OB" sheetId="19" r:id="rId16"/>
    <sheet name="AWPC raw BP" sheetId="18" r:id="rId17"/>
    <sheet name="AWPC m.ply PL" sheetId="17" r:id="rId18"/>
    <sheet name="AWPC s.ply PL" sheetId="16" r:id="rId19"/>
    <sheet name="AWPC Classic RAW PL" sheetId="15" r:id="rId20"/>
    <sheet name="AWPC raw PL" sheetId="14" r:id="rId21"/>
    <sheet name="WPC MP soft eq. BP" sheetId="13" r:id="rId22"/>
    <sheet name="WPC soft eq. BP" sheetId="12" r:id="rId23"/>
    <sheet name="WPC m.ply BP" sheetId="11" r:id="rId24"/>
    <sheet name="WPC s.ply BP" sheetId="10" r:id="rId25"/>
    <sheet name="WPC raw BP" sheetId="9" r:id="rId26"/>
    <sheet name="WPC m.ply PL" sheetId="8" r:id="rId27"/>
    <sheet name="WPC s.ply PL" sheetId="7" r:id="rId28"/>
    <sheet name="WPC Classic RAW PL" sheetId="6" r:id="rId29"/>
    <sheet name="WPC raw PL" sheetId="5" r:id="rId30"/>
  </sheets>
  <definedNames>
    <definedName name="_FilterDatabase" localSheetId="0" hidden="1">'MR BP 1 bw. WPC'!$A$1:$I$3</definedName>
    <definedName name="_FilterDatabase" localSheetId="29" hidden="1">'WPC raw PL'!$A$1:$S$3</definedName>
  </definedNames>
  <calcPr calcId="125725" refMode="R1C1"/>
</workbook>
</file>

<file path=xl/calcChain.xml><?xml version="1.0" encoding="utf-8"?>
<calcChain xmlns="http://schemas.openxmlformats.org/spreadsheetml/2006/main">
  <c r="D6" i="35"/>
  <c r="I6"/>
  <c r="J6"/>
  <c r="D7"/>
  <c r="I7"/>
  <c r="J7"/>
  <c r="D8"/>
  <c r="I8"/>
  <c r="J8"/>
  <c r="D11"/>
  <c r="I11"/>
  <c r="J11"/>
  <c r="D14"/>
  <c r="I14"/>
  <c r="J14"/>
  <c r="D15"/>
  <c r="I15"/>
  <c r="J15"/>
  <c r="D18"/>
  <c r="I18"/>
  <c r="J18"/>
  <c r="D19"/>
  <c r="I19"/>
  <c r="J19"/>
  <c r="D20"/>
  <c r="I20"/>
  <c r="J20"/>
  <c r="D21"/>
  <c r="I21"/>
  <c r="J21"/>
  <c r="D24"/>
  <c r="I24"/>
  <c r="J24"/>
  <c r="D25"/>
  <c r="I25"/>
  <c r="J25"/>
  <c r="D6" i="34"/>
  <c r="I6"/>
  <c r="J6"/>
  <c r="D9"/>
  <c r="I9"/>
  <c r="J9"/>
  <c r="D10"/>
  <c r="I10"/>
  <c r="J10"/>
  <c r="D13"/>
  <c r="I13"/>
  <c r="J13"/>
  <c r="D16"/>
  <c r="I16"/>
  <c r="J16"/>
  <c r="D19"/>
  <c r="I19"/>
  <c r="J19"/>
  <c r="D20"/>
  <c r="I20"/>
  <c r="J20"/>
  <c r="D23"/>
  <c r="I23"/>
  <c r="J23"/>
  <c r="D24"/>
  <c r="I24"/>
  <c r="J24"/>
  <c r="D6" i="33"/>
  <c r="I6"/>
  <c r="J6"/>
  <c r="D6" i="32"/>
  <c r="I6"/>
  <c r="J6"/>
  <c r="L17" i="31"/>
  <c r="K17"/>
  <c r="D17"/>
  <c r="L16"/>
  <c r="K16"/>
  <c r="D16"/>
  <c r="L13"/>
  <c r="K13"/>
  <c r="D13"/>
  <c r="L12"/>
  <c r="K12"/>
  <c r="D12"/>
  <c r="L9"/>
  <c r="K9"/>
  <c r="D9"/>
  <c r="L6"/>
  <c r="K6"/>
  <c r="D6"/>
  <c r="L16" i="30"/>
  <c r="K16"/>
  <c r="D16"/>
  <c r="L13"/>
  <c r="K13"/>
  <c r="D13"/>
  <c r="L10"/>
  <c r="K10"/>
  <c r="D10"/>
  <c r="L9"/>
  <c r="K9"/>
  <c r="D9"/>
  <c r="L6"/>
  <c r="K6"/>
  <c r="D6"/>
  <c r="L12" i="29"/>
  <c r="K12"/>
  <c r="D12"/>
  <c r="L9"/>
  <c r="K9"/>
  <c r="D9"/>
  <c r="L6"/>
  <c r="K6"/>
  <c r="D6"/>
  <c r="L12" i="28"/>
  <c r="K12"/>
  <c r="D12"/>
  <c r="L9"/>
  <c r="K9"/>
  <c r="D9"/>
  <c r="L6"/>
  <c r="K6"/>
  <c r="D6"/>
  <c r="L94" i="27"/>
  <c r="K94"/>
  <c r="D94"/>
  <c r="L93"/>
  <c r="K93"/>
  <c r="D93"/>
  <c r="L92"/>
  <c r="K92"/>
  <c r="D92"/>
  <c r="L89"/>
  <c r="K89"/>
  <c r="D89"/>
  <c r="L88"/>
  <c r="K88"/>
  <c r="D88"/>
  <c r="L87"/>
  <c r="K87"/>
  <c r="D87"/>
  <c r="L84"/>
  <c r="K84"/>
  <c r="D84"/>
  <c r="L83"/>
  <c r="K83"/>
  <c r="D83"/>
  <c r="L82"/>
  <c r="K82"/>
  <c r="D82"/>
  <c r="L81"/>
  <c r="K81"/>
  <c r="D81"/>
  <c r="L80"/>
  <c r="K80"/>
  <c r="D80"/>
  <c r="L79"/>
  <c r="K79"/>
  <c r="D79"/>
  <c r="L78"/>
  <c r="K78"/>
  <c r="D78"/>
  <c r="L77"/>
  <c r="K77"/>
  <c r="D77"/>
  <c r="L76"/>
  <c r="K76"/>
  <c r="D76"/>
  <c r="L75"/>
  <c r="K75"/>
  <c r="D75"/>
  <c r="L74"/>
  <c r="K74"/>
  <c r="D74"/>
  <c r="L71"/>
  <c r="K71"/>
  <c r="D71"/>
  <c r="L70"/>
  <c r="K70"/>
  <c r="D70"/>
  <c r="L69"/>
  <c r="K69"/>
  <c r="D69"/>
  <c r="L68"/>
  <c r="K68"/>
  <c r="D68"/>
  <c r="L67"/>
  <c r="K67"/>
  <c r="D67"/>
  <c r="L66"/>
  <c r="K66"/>
  <c r="D66"/>
  <c r="L65"/>
  <c r="K65"/>
  <c r="D65"/>
  <c r="L64"/>
  <c r="K64"/>
  <c r="D64"/>
  <c r="L63"/>
  <c r="K63"/>
  <c r="D63"/>
  <c r="L62"/>
  <c r="K62"/>
  <c r="D62"/>
  <c r="L59"/>
  <c r="K59"/>
  <c r="D59"/>
  <c r="L58"/>
  <c r="K58"/>
  <c r="D58"/>
  <c r="L57"/>
  <c r="K57"/>
  <c r="D57"/>
  <c r="L56"/>
  <c r="K56"/>
  <c r="D56"/>
  <c r="L55"/>
  <c r="K55"/>
  <c r="D55"/>
  <c r="L54"/>
  <c r="K54"/>
  <c r="D54"/>
  <c r="L53"/>
  <c r="K53"/>
  <c r="D53"/>
  <c r="L52"/>
  <c r="K52"/>
  <c r="D52"/>
  <c r="L51"/>
  <c r="K51"/>
  <c r="D51"/>
  <c r="L48"/>
  <c r="K48"/>
  <c r="D48"/>
  <c r="L47"/>
  <c r="K47"/>
  <c r="D47"/>
  <c r="L46"/>
  <c r="K46"/>
  <c r="D46"/>
  <c r="L45"/>
  <c r="K45"/>
  <c r="D45"/>
  <c r="L44"/>
  <c r="K44"/>
  <c r="D44"/>
  <c r="L41"/>
  <c r="K41"/>
  <c r="D41"/>
  <c r="L40"/>
  <c r="K40"/>
  <c r="D40"/>
  <c r="L37"/>
  <c r="K37"/>
  <c r="D37"/>
  <c r="L34"/>
  <c r="K34"/>
  <c r="D34"/>
  <c r="L31"/>
  <c r="K31"/>
  <c r="D31"/>
  <c r="L30"/>
  <c r="K30"/>
  <c r="D30"/>
  <c r="L29"/>
  <c r="K29"/>
  <c r="D29"/>
  <c r="L26"/>
  <c r="K26"/>
  <c r="D26"/>
  <c r="L25"/>
  <c r="K25"/>
  <c r="D25"/>
  <c r="L24"/>
  <c r="K24"/>
  <c r="D24"/>
  <c r="L21"/>
  <c r="K21"/>
  <c r="D21"/>
  <c r="L20"/>
  <c r="K20"/>
  <c r="D20"/>
  <c r="L19"/>
  <c r="K19"/>
  <c r="D19"/>
  <c r="L18"/>
  <c r="K18"/>
  <c r="D18"/>
  <c r="L15"/>
  <c r="K15"/>
  <c r="D15"/>
  <c r="L14"/>
  <c r="K14"/>
  <c r="D14"/>
  <c r="L11"/>
  <c r="K11"/>
  <c r="D11"/>
  <c r="L8"/>
  <c r="K8"/>
  <c r="D8"/>
  <c r="L7"/>
  <c r="K7"/>
  <c r="D7"/>
  <c r="L6"/>
  <c r="K6"/>
  <c r="D6"/>
  <c r="L8" i="26"/>
  <c r="K8"/>
  <c r="D8"/>
  <c r="L7"/>
  <c r="K7"/>
  <c r="D7"/>
  <c r="L6"/>
  <c r="K6"/>
  <c r="D6"/>
  <c r="L16" i="25"/>
  <c r="K16"/>
  <c r="D16"/>
  <c r="L15"/>
  <c r="K15"/>
  <c r="D15"/>
  <c r="L12"/>
  <c r="K12"/>
  <c r="D12"/>
  <c r="L9"/>
  <c r="K9"/>
  <c r="D9"/>
  <c r="L6"/>
  <c r="K6"/>
  <c r="D6"/>
  <c r="L49" i="24"/>
  <c r="K49"/>
  <c r="D49"/>
  <c r="L48"/>
  <c r="K48"/>
  <c r="D48"/>
  <c r="L47"/>
  <c r="K47"/>
  <c r="D47"/>
  <c r="L46"/>
  <c r="K46"/>
  <c r="D46"/>
  <c r="L43"/>
  <c r="K43"/>
  <c r="D43"/>
  <c r="L42"/>
  <c r="K42"/>
  <c r="D42"/>
  <c r="L41"/>
  <c r="K41"/>
  <c r="D41"/>
  <c r="L38"/>
  <c r="K38"/>
  <c r="D38"/>
  <c r="L37"/>
  <c r="K37"/>
  <c r="D37"/>
  <c r="L34"/>
  <c r="K34"/>
  <c r="D34"/>
  <c r="L33"/>
  <c r="K33"/>
  <c r="D33"/>
  <c r="L32"/>
  <c r="K32"/>
  <c r="D32"/>
  <c r="L31"/>
  <c r="K31"/>
  <c r="D31"/>
  <c r="L30"/>
  <c r="K30"/>
  <c r="D30"/>
  <c r="L27"/>
  <c r="K27"/>
  <c r="D27"/>
  <c r="L26"/>
  <c r="K26"/>
  <c r="D26"/>
  <c r="L23"/>
  <c r="K23"/>
  <c r="D23"/>
  <c r="L22"/>
  <c r="K22"/>
  <c r="D22"/>
  <c r="L19"/>
  <c r="K19"/>
  <c r="D19"/>
  <c r="L16"/>
  <c r="K16"/>
  <c r="D16"/>
  <c r="L15"/>
  <c r="K15"/>
  <c r="D15"/>
  <c r="L12"/>
  <c r="K12"/>
  <c r="D12"/>
  <c r="L9"/>
  <c r="K9"/>
  <c r="D9"/>
  <c r="L6"/>
  <c r="K6"/>
  <c r="D6"/>
  <c r="L13" i="23"/>
  <c r="K13"/>
  <c r="D13"/>
  <c r="L12"/>
  <c r="K12"/>
  <c r="D12"/>
  <c r="L9"/>
  <c r="K9"/>
  <c r="D9"/>
  <c r="L6"/>
  <c r="K6"/>
  <c r="D6"/>
  <c r="L35" i="22"/>
  <c r="K35"/>
  <c r="D35"/>
  <c r="L32"/>
  <c r="K32"/>
  <c r="D32"/>
  <c r="L29"/>
  <c r="K29"/>
  <c r="D29"/>
  <c r="L26"/>
  <c r="K26"/>
  <c r="D26"/>
  <c r="L25"/>
  <c r="K25"/>
  <c r="D25"/>
  <c r="L22"/>
  <c r="K22"/>
  <c r="D22"/>
  <c r="L19"/>
  <c r="K19"/>
  <c r="D19"/>
  <c r="L16"/>
  <c r="K16"/>
  <c r="D16"/>
  <c r="L15"/>
  <c r="K15"/>
  <c r="D15"/>
  <c r="L12"/>
  <c r="K12"/>
  <c r="D12"/>
  <c r="L9"/>
  <c r="K9"/>
  <c r="D9"/>
  <c r="L6"/>
  <c r="K6"/>
  <c r="D6"/>
  <c r="L12" i="21"/>
  <c r="K12"/>
  <c r="D12"/>
  <c r="L9"/>
  <c r="K9"/>
  <c r="D9"/>
  <c r="L6"/>
  <c r="K6"/>
  <c r="D6"/>
  <c r="L6" i="19"/>
  <c r="K6"/>
  <c r="D6"/>
  <c r="L119" i="18"/>
  <c r="K119"/>
  <c r="D119"/>
  <c r="L118"/>
  <c r="K118"/>
  <c r="D118"/>
  <c r="L115"/>
  <c r="K115"/>
  <c r="D115"/>
  <c r="L114"/>
  <c r="K114"/>
  <c r="D114"/>
  <c r="L113"/>
  <c r="K113"/>
  <c r="D113"/>
  <c r="L112"/>
  <c r="K112"/>
  <c r="D112"/>
  <c r="L111"/>
  <c r="K111"/>
  <c r="D111"/>
  <c r="L110"/>
  <c r="K110"/>
  <c r="D110"/>
  <c r="L109"/>
  <c r="K109"/>
  <c r="D109"/>
  <c r="L106"/>
  <c r="K106"/>
  <c r="D106"/>
  <c r="L105"/>
  <c r="K105"/>
  <c r="D105"/>
  <c r="L104"/>
  <c r="K104"/>
  <c r="D104"/>
  <c r="L103"/>
  <c r="K103"/>
  <c r="D103"/>
  <c r="L100"/>
  <c r="K100"/>
  <c r="D100"/>
  <c r="L99"/>
  <c r="K99"/>
  <c r="D99"/>
  <c r="L98"/>
  <c r="K98"/>
  <c r="D98"/>
  <c r="L97"/>
  <c r="K97"/>
  <c r="D97"/>
  <c r="L96"/>
  <c r="K96"/>
  <c r="D96"/>
  <c r="L95"/>
  <c r="K95"/>
  <c r="D95"/>
  <c r="L94"/>
  <c r="K94"/>
  <c r="D94"/>
  <c r="L93"/>
  <c r="K93"/>
  <c r="D93"/>
  <c r="L92"/>
  <c r="K92"/>
  <c r="D92"/>
  <c r="L91"/>
  <c r="K91"/>
  <c r="D91"/>
  <c r="L90"/>
  <c r="K90"/>
  <c r="D90"/>
  <c r="L89"/>
  <c r="K89"/>
  <c r="D89"/>
  <c r="L88"/>
  <c r="K88"/>
  <c r="D88"/>
  <c r="L87"/>
  <c r="K87"/>
  <c r="D87"/>
  <c r="L86"/>
  <c r="K86"/>
  <c r="D86"/>
  <c r="L83"/>
  <c r="K83"/>
  <c r="D83"/>
  <c r="L82"/>
  <c r="K82"/>
  <c r="D82"/>
  <c r="L81"/>
  <c r="K81"/>
  <c r="D81"/>
  <c r="L80"/>
  <c r="K80"/>
  <c r="D80"/>
  <c r="L79"/>
  <c r="K79"/>
  <c r="D79"/>
  <c r="L78"/>
  <c r="K78"/>
  <c r="D78"/>
  <c r="L77"/>
  <c r="K77"/>
  <c r="D77"/>
  <c r="L76"/>
  <c r="K76"/>
  <c r="D76"/>
  <c r="L75"/>
  <c r="K75"/>
  <c r="D75"/>
  <c r="L72"/>
  <c r="K72"/>
  <c r="D72"/>
  <c r="L71"/>
  <c r="K71"/>
  <c r="D71"/>
  <c r="L70"/>
  <c r="K70"/>
  <c r="D70"/>
  <c r="L69"/>
  <c r="K69"/>
  <c r="D69"/>
  <c r="L68"/>
  <c r="K68"/>
  <c r="D68"/>
  <c r="L67"/>
  <c r="K67"/>
  <c r="D67"/>
  <c r="L66"/>
  <c r="K66"/>
  <c r="D66"/>
  <c r="L65"/>
  <c r="K65"/>
  <c r="D65"/>
  <c r="L64"/>
  <c r="K64"/>
  <c r="D64"/>
  <c r="L63"/>
  <c r="K63"/>
  <c r="D63"/>
  <c r="L62"/>
  <c r="K62"/>
  <c r="D62"/>
  <c r="L61"/>
  <c r="K61"/>
  <c r="D61"/>
  <c r="L58"/>
  <c r="K58"/>
  <c r="D58"/>
  <c r="L57"/>
  <c r="K57"/>
  <c r="D57"/>
  <c r="L56"/>
  <c r="K56"/>
  <c r="D56"/>
  <c r="L55"/>
  <c r="K55"/>
  <c r="D55"/>
  <c r="L54"/>
  <c r="K54"/>
  <c r="D54"/>
  <c r="L53"/>
  <c r="K53"/>
  <c r="D53"/>
  <c r="L52"/>
  <c r="K52"/>
  <c r="D52"/>
  <c r="L51"/>
  <c r="K51"/>
  <c r="D51"/>
  <c r="L50"/>
  <c r="K50"/>
  <c r="D50"/>
  <c r="L49"/>
  <c r="K49"/>
  <c r="D49"/>
  <c r="L48"/>
  <c r="K48"/>
  <c r="D48"/>
  <c r="L47"/>
  <c r="K47"/>
  <c r="D47"/>
  <c r="L46"/>
  <c r="K46"/>
  <c r="D46"/>
  <c r="L43"/>
  <c r="K43"/>
  <c r="D43"/>
  <c r="L42"/>
  <c r="K42"/>
  <c r="D42"/>
  <c r="L41"/>
  <c r="K41"/>
  <c r="D41"/>
  <c r="L40"/>
  <c r="K40"/>
  <c r="D40"/>
  <c r="L39"/>
  <c r="K39"/>
  <c r="D39"/>
  <c r="L38"/>
  <c r="K38"/>
  <c r="D38"/>
  <c r="L35"/>
  <c r="K35"/>
  <c r="D35"/>
  <c r="L34"/>
  <c r="K34"/>
  <c r="D34"/>
  <c r="L31"/>
  <c r="K31"/>
  <c r="D31"/>
  <c r="L28"/>
  <c r="K28"/>
  <c r="D28"/>
  <c r="L25"/>
  <c r="K25"/>
  <c r="D25"/>
  <c r="L22"/>
  <c r="K22"/>
  <c r="D22"/>
  <c r="L21"/>
  <c r="K21"/>
  <c r="D21"/>
  <c r="L18"/>
  <c r="K18"/>
  <c r="D18"/>
  <c r="L17"/>
  <c r="K17"/>
  <c r="D17"/>
  <c r="L14"/>
  <c r="K14"/>
  <c r="D14"/>
  <c r="L13"/>
  <c r="K13"/>
  <c r="D13"/>
  <c r="L10"/>
  <c r="K10"/>
  <c r="D10"/>
  <c r="L7"/>
  <c r="K7"/>
  <c r="D7"/>
  <c r="L6"/>
  <c r="K6"/>
  <c r="D6"/>
  <c r="T6" i="17"/>
  <c r="S6"/>
  <c r="D6"/>
  <c r="T7" i="16"/>
  <c r="S7"/>
  <c r="D7"/>
  <c r="T6"/>
  <c r="S6"/>
  <c r="D6"/>
  <c r="T56" i="15"/>
  <c r="S56"/>
  <c r="D56"/>
  <c r="T55"/>
  <c r="S55"/>
  <c r="D55"/>
  <c r="T54"/>
  <c r="S54"/>
  <c r="D54"/>
  <c r="T51"/>
  <c r="S51"/>
  <c r="D51"/>
  <c r="T50"/>
  <c r="S50"/>
  <c r="D50"/>
  <c r="T47"/>
  <c r="S47"/>
  <c r="D47"/>
  <c r="T46"/>
  <c r="S46"/>
  <c r="D46"/>
  <c r="T45"/>
  <c r="S45"/>
  <c r="D45"/>
  <c r="T42"/>
  <c r="S42"/>
  <c r="D42"/>
  <c r="T41"/>
  <c r="S41"/>
  <c r="D41"/>
  <c r="T40"/>
  <c r="S40"/>
  <c r="D40"/>
  <c r="T39"/>
  <c r="S39"/>
  <c r="D39"/>
  <c r="T38"/>
  <c r="S38"/>
  <c r="D38"/>
  <c r="T35"/>
  <c r="S35"/>
  <c r="D35"/>
  <c r="T32"/>
  <c r="S32"/>
  <c r="D32"/>
  <c r="T31"/>
  <c r="S31"/>
  <c r="D31"/>
  <c r="T28"/>
  <c r="S28"/>
  <c r="D28"/>
  <c r="T25"/>
  <c r="S25"/>
  <c r="D25"/>
  <c r="T22"/>
  <c r="S22"/>
  <c r="D22"/>
  <c r="T21"/>
  <c r="S21"/>
  <c r="D21"/>
  <c r="T18"/>
  <c r="S18"/>
  <c r="D18"/>
  <c r="T17"/>
  <c r="S17"/>
  <c r="D17"/>
  <c r="T14"/>
  <c r="S14"/>
  <c r="D14"/>
  <c r="T13"/>
  <c r="S13"/>
  <c r="D13"/>
  <c r="T10"/>
  <c r="S10"/>
  <c r="D10"/>
  <c r="T9"/>
  <c r="S9"/>
  <c r="D9"/>
  <c r="T6"/>
  <c r="S6"/>
  <c r="D6"/>
  <c r="T47" i="14"/>
  <c r="S47"/>
  <c r="D47"/>
  <c r="T46"/>
  <c r="S46"/>
  <c r="D46"/>
  <c r="T45"/>
  <c r="S45"/>
  <c r="D45"/>
  <c r="T44"/>
  <c r="S44"/>
  <c r="D44"/>
  <c r="T43"/>
  <c r="S43"/>
  <c r="D43"/>
  <c r="T40"/>
  <c r="S40"/>
  <c r="D40"/>
  <c r="T39"/>
  <c r="S39"/>
  <c r="D39"/>
  <c r="T38"/>
  <c r="S38"/>
  <c r="D38"/>
  <c r="T35"/>
  <c r="S35"/>
  <c r="D35"/>
  <c r="T34"/>
  <c r="S34"/>
  <c r="D34"/>
  <c r="T33"/>
  <c r="S33"/>
  <c r="D33"/>
  <c r="T32"/>
  <c r="S32"/>
  <c r="D32"/>
  <c r="T31"/>
  <c r="S31"/>
  <c r="D31"/>
  <c r="T30"/>
  <c r="S30"/>
  <c r="D30"/>
  <c r="T29"/>
  <c r="S29"/>
  <c r="D29"/>
  <c r="T26"/>
  <c r="S26"/>
  <c r="D26"/>
  <c r="T25"/>
  <c r="S25"/>
  <c r="D25"/>
  <c r="T24"/>
  <c r="S24"/>
  <c r="D24"/>
  <c r="T21"/>
  <c r="S21"/>
  <c r="D21"/>
  <c r="T18"/>
  <c r="S18"/>
  <c r="D18"/>
  <c r="T17"/>
  <c r="S17"/>
  <c r="D17"/>
  <c r="T16"/>
  <c r="S16"/>
  <c r="D16"/>
  <c r="T13"/>
  <c r="S13"/>
  <c r="D13"/>
  <c r="T10"/>
  <c r="S10"/>
  <c r="D10"/>
  <c r="T9"/>
  <c r="S9"/>
  <c r="D9"/>
  <c r="T6"/>
  <c r="S6"/>
  <c r="D6"/>
  <c r="L11" i="13"/>
  <c r="K11"/>
  <c r="D11"/>
  <c r="L10"/>
  <c r="K10"/>
  <c r="D10"/>
  <c r="L7"/>
  <c r="K7"/>
  <c r="D7"/>
  <c r="L6"/>
  <c r="K6"/>
  <c r="D6"/>
  <c r="L16" i="12"/>
  <c r="K16"/>
  <c r="D16"/>
  <c r="L15"/>
  <c r="K15"/>
  <c r="D15"/>
  <c r="L14"/>
  <c r="K14"/>
  <c r="D14"/>
  <c r="L11"/>
  <c r="K11"/>
  <c r="D11"/>
  <c r="L10"/>
  <c r="K10"/>
  <c r="D10"/>
  <c r="L7"/>
  <c r="K7"/>
  <c r="D7"/>
  <c r="L6"/>
  <c r="K6"/>
  <c r="D6"/>
  <c r="L14" i="11"/>
  <c r="K14"/>
  <c r="D14"/>
  <c r="L11"/>
  <c r="K11"/>
  <c r="D11"/>
  <c r="L8"/>
  <c r="K8"/>
  <c r="D8"/>
  <c r="L7"/>
  <c r="K7"/>
  <c r="D7"/>
  <c r="L6"/>
  <c r="K6"/>
  <c r="D6"/>
  <c r="L6" i="10"/>
  <c r="K6"/>
  <c r="D6"/>
  <c r="L67" i="9"/>
  <c r="K67"/>
  <c r="D67"/>
  <c r="L64"/>
  <c r="K64"/>
  <c r="D64"/>
  <c r="L63"/>
  <c r="K63"/>
  <c r="D63"/>
  <c r="L62"/>
  <c r="K62"/>
  <c r="D62"/>
  <c r="L61"/>
  <c r="K61"/>
  <c r="D61"/>
  <c r="L60"/>
  <c r="K60"/>
  <c r="D60"/>
  <c r="L57"/>
  <c r="K57"/>
  <c r="D57"/>
  <c r="L56"/>
  <c r="K56"/>
  <c r="D56"/>
  <c r="L55"/>
  <c r="K55"/>
  <c r="D55"/>
  <c r="L54"/>
  <c r="K54"/>
  <c r="D54"/>
  <c r="L53"/>
  <c r="K53"/>
  <c r="D53"/>
  <c r="L52"/>
  <c r="K52"/>
  <c r="D52"/>
  <c r="L51"/>
  <c r="K51"/>
  <c r="D51"/>
  <c r="L48"/>
  <c r="K48"/>
  <c r="D48"/>
  <c r="L47"/>
  <c r="K47"/>
  <c r="D47"/>
  <c r="L46"/>
  <c r="K46"/>
  <c r="D46"/>
  <c r="L45"/>
  <c r="K45"/>
  <c r="D45"/>
  <c r="L42"/>
  <c r="K42"/>
  <c r="D42"/>
  <c r="L41"/>
  <c r="K41"/>
  <c r="D41"/>
  <c r="L40"/>
  <c r="K40"/>
  <c r="D40"/>
  <c r="L39"/>
  <c r="K39"/>
  <c r="D39"/>
  <c r="L38"/>
  <c r="K38"/>
  <c r="D38"/>
  <c r="L37"/>
  <c r="K37"/>
  <c r="D37"/>
  <c r="L34"/>
  <c r="K34"/>
  <c r="D34"/>
  <c r="L31"/>
  <c r="K31"/>
  <c r="D31"/>
  <c r="L30"/>
  <c r="K30"/>
  <c r="D30"/>
  <c r="L29"/>
  <c r="K29"/>
  <c r="D29"/>
  <c r="L28"/>
  <c r="K28"/>
  <c r="D28"/>
  <c r="L27"/>
  <c r="K27"/>
  <c r="D27"/>
  <c r="L24"/>
  <c r="K24"/>
  <c r="D24"/>
  <c r="L23"/>
  <c r="K23"/>
  <c r="D23"/>
  <c r="L20"/>
  <c r="K20"/>
  <c r="D20"/>
  <c r="L19"/>
  <c r="K19"/>
  <c r="D19"/>
  <c r="L18"/>
  <c r="K18"/>
  <c r="D18"/>
  <c r="L15"/>
  <c r="K15"/>
  <c r="D15"/>
  <c r="L12"/>
  <c r="K12"/>
  <c r="D12"/>
  <c r="L9"/>
  <c r="K9"/>
  <c r="D9"/>
  <c r="L6"/>
  <c r="K6"/>
  <c r="D6"/>
  <c r="T7" i="8"/>
  <c r="S7"/>
  <c r="D7"/>
  <c r="T6"/>
  <c r="S6"/>
  <c r="D6"/>
  <c r="T12" i="7"/>
  <c r="S12"/>
  <c r="D12"/>
  <c r="T9"/>
  <c r="S9"/>
  <c r="D9"/>
  <c r="T6"/>
  <c r="S6"/>
  <c r="D6"/>
  <c r="T35" i="6"/>
  <c r="S35"/>
  <c r="D35"/>
  <c r="T34"/>
  <c r="S34"/>
  <c r="D34"/>
  <c r="T33"/>
  <c r="S33"/>
  <c r="D33"/>
  <c r="T32"/>
  <c r="S32"/>
  <c r="D32"/>
  <c r="T29"/>
  <c r="S29"/>
  <c r="D29"/>
  <c r="T28"/>
  <c r="S28"/>
  <c r="D28"/>
  <c r="T27"/>
  <c r="S27"/>
  <c r="D27"/>
  <c r="T26"/>
  <c r="S26"/>
  <c r="D26"/>
  <c r="T23"/>
  <c r="S23"/>
  <c r="D23"/>
  <c r="T22"/>
  <c r="S22"/>
  <c r="D22"/>
  <c r="T21"/>
  <c r="S21"/>
  <c r="D21"/>
  <c r="T18"/>
  <c r="S18"/>
  <c r="D18"/>
  <c r="T17"/>
  <c r="S17"/>
  <c r="D17"/>
  <c r="T14"/>
  <c r="S14"/>
  <c r="D14"/>
  <c r="T11"/>
  <c r="S11"/>
  <c r="D11"/>
  <c r="T8"/>
  <c r="S8"/>
  <c r="D8"/>
  <c r="T7"/>
  <c r="S7"/>
  <c r="D7"/>
  <c r="T6"/>
  <c r="S6"/>
  <c r="D6"/>
  <c r="T15" i="5"/>
  <c r="S15"/>
  <c r="D15"/>
  <c r="T12"/>
  <c r="S12"/>
  <c r="D12"/>
  <c r="T9"/>
  <c r="S9"/>
  <c r="D9"/>
  <c r="T6"/>
  <c r="S6"/>
  <c r="D6"/>
</calcChain>
</file>

<file path=xl/sharedStrings.xml><?xml version="1.0" encoding="utf-8"?>
<sst xmlns="http://schemas.openxmlformats.org/spreadsheetml/2006/main" count="6523" uniqueCount="1850">
  <si>
    <t>Name</t>
  </si>
  <si>
    <t>Team</t>
  </si>
  <si>
    <t>Squat</t>
  </si>
  <si>
    <t>Benchpress</t>
  </si>
  <si>
    <t>Deadlift</t>
  </si>
  <si>
    <t>Coach</t>
  </si>
  <si>
    <t>Pts</t>
  </si>
  <si>
    <t>Rec</t>
  </si>
  <si>
    <t>Body
weight</t>
  </si>
  <si>
    <t>Total</t>
  </si>
  <si>
    <t>Age Class
Bith date/Age</t>
  </si>
  <si>
    <t>Gloss</t>
  </si>
  <si>
    <t>Town/Country</t>
  </si>
  <si>
    <t>Body Weight Category  48</t>
  </si>
  <si>
    <t>Zhuk Yulia</t>
  </si>
  <si>
    <t>1. Zhuk Yulia</t>
  </si>
  <si>
    <t>Open (01.04.1986)/33</t>
  </si>
  <si>
    <t>46,40</t>
  </si>
  <si>
    <t>Lichno</t>
  </si>
  <si>
    <t>RUS/Sankt-Peterburg</t>
  </si>
  <si>
    <t>77,5</t>
  </si>
  <si>
    <t>80,0</t>
  </si>
  <si>
    <t>37,5</t>
  </si>
  <si>
    <t>40,0</t>
  </si>
  <si>
    <t>95,0</t>
  </si>
  <si>
    <t>105,0</t>
  </si>
  <si>
    <t>110,0</t>
  </si>
  <si>
    <t>Body Weight Category  60</t>
  </si>
  <si>
    <t>Bondarchuk Elena</t>
  </si>
  <si>
    <t>1. Bondarchuk Elena</t>
  </si>
  <si>
    <t>Open (18.06.1980)/39</t>
  </si>
  <si>
    <t>59,70</t>
  </si>
  <si>
    <t>125,0</t>
  </si>
  <si>
    <t>130,0</t>
  </si>
  <si>
    <t>85,0</t>
  </si>
  <si>
    <t>87,5</t>
  </si>
  <si>
    <t>91,0</t>
  </si>
  <si>
    <t>142,5</t>
  </si>
  <si>
    <t>152,5</t>
  </si>
  <si>
    <t>163,0</t>
  </si>
  <si>
    <t>Taranukhin G.Yu.</t>
  </si>
  <si>
    <t>Body Weight Category  67.5</t>
  </si>
  <si>
    <t>Chernyshova Mariya</t>
  </si>
  <si>
    <t>1. Chernyshova Mariya</t>
  </si>
  <si>
    <t>Juniors 20-23 (22.06.1998)/21</t>
  </si>
  <si>
    <t>64,60</t>
  </si>
  <si>
    <t>EST/Estoniya</t>
  </si>
  <si>
    <t>45,0</t>
  </si>
  <si>
    <t>50,0</t>
  </si>
  <si>
    <t>52,5</t>
  </si>
  <si>
    <t>30,0</t>
  </si>
  <si>
    <t>35,0</t>
  </si>
  <si>
    <t>90,0</t>
  </si>
  <si>
    <t>97,5</t>
  </si>
  <si>
    <t>Body Weight Category  75</t>
  </si>
  <si>
    <t>Trivedi Komal</t>
  </si>
  <si>
    <t>1. Trivedi Komal</t>
  </si>
  <si>
    <t>Open (11.07.1980)/39</t>
  </si>
  <si>
    <t>75,00</t>
  </si>
  <si>
    <t>India</t>
  </si>
  <si>
    <t>IND/India</t>
  </si>
  <si>
    <t>60,0</t>
  </si>
  <si>
    <t>65,0</t>
  </si>
  <si>
    <t>100,0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</si>
  <si>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</si>
  <si>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</si>
  <si>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</si>
  <si>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</si>
  <si>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</si>
  <si>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</si>
  <si>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</si>
  <si>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</si>
  <si>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Juniors</t>
  </si>
  <si>
    <t>Age class</t>
  </si>
  <si>
    <t>WC</t>
  </si>
  <si>
    <t>Totall</t>
  </si>
  <si>
    <t>Juniors 20-23</t>
  </si>
  <si>
    <t>67.5</t>
  </si>
  <si>
    <t>185,0</t>
  </si>
  <si>
    <t>172,2628</t>
  </si>
  <si>
    <t>Open</t>
  </si>
  <si>
    <t>60</t>
  </si>
  <si>
    <t>370,0</t>
  </si>
  <si>
    <t>366,8920</t>
  </si>
  <si>
    <t>48</t>
  </si>
  <si>
    <t>220,0</t>
  </si>
  <si>
    <t>266,1340</t>
  </si>
  <si>
    <t>75</t>
  </si>
  <si>
    <t>197,5</t>
  </si>
  <si>
    <t>165,1297</t>
  </si>
  <si>
    <t>Batinova Olga</t>
  </si>
  <si>
    <t>1. Batinova Olga</t>
  </si>
  <si>
    <t>Masters 45-49 (22.09.1974)/45</t>
  </si>
  <si>
    <t>72,30</t>
  </si>
  <si>
    <t>Megalift</t>
  </si>
  <si>
    <t>RUS/Moskva</t>
  </si>
  <si>
    <t>75,0</t>
  </si>
  <si>
    <t>102,5</t>
  </si>
  <si>
    <t>Pogula Ekaterina</t>
  </si>
  <si>
    <t>2. Pogula Ekaterina</t>
  </si>
  <si>
    <t>Masters 45-49 (28.04.1972)/47</t>
  </si>
  <si>
    <t>68,50</t>
  </si>
  <si>
    <t>RUS/Dubna</t>
  </si>
  <si>
    <t>70,0</t>
  </si>
  <si>
    <t>82,5</t>
  </si>
  <si>
    <t>32,5</t>
  </si>
  <si>
    <t>Putilova Elena</t>
  </si>
  <si>
    <t>1. Putilova Elena</t>
  </si>
  <si>
    <t>Masters 50-54 (29.11.1965)/54</t>
  </si>
  <si>
    <t>72,70</t>
  </si>
  <si>
    <t>RUS/Sukhoy Log</t>
  </si>
  <si>
    <t>42,5</t>
  </si>
  <si>
    <t>92,5</t>
  </si>
  <si>
    <t>Gurve Sagar</t>
  </si>
  <si>
    <t>1. Gurve Sagar</t>
  </si>
  <si>
    <t>Juniors 20-23 (04.01.1996)/23</t>
  </si>
  <si>
    <t>58,90</t>
  </si>
  <si>
    <t>170,0</t>
  </si>
  <si>
    <t>180,0</t>
  </si>
  <si>
    <t>200,0</t>
  </si>
  <si>
    <t>Sukhobok Maxim</t>
  </si>
  <si>
    <t>1. Sukhobok Maxim</t>
  </si>
  <si>
    <t>Masters 50-54 (01.01.1965)/54</t>
  </si>
  <si>
    <t>65,60</t>
  </si>
  <si>
    <t>160,0</t>
  </si>
  <si>
    <t>115,0</t>
  </si>
  <si>
    <t>120,0</t>
  </si>
  <si>
    <t>122,5</t>
  </si>
  <si>
    <t>205,0</t>
  </si>
  <si>
    <t>215,0</t>
  </si>
  <si>
    <t>Dahiya Utkarsh</t>
  </si>
  <si>
    <t>1. Dahiya Utkarsh</t>
  </si>
  <si>
    <t>Teen 13-15 (20.03.2004)/15</t>
  </si>
  <si>
    <t>73,90</t>
  </si>
  <si>
    <t>67,5</t>
  </si>
  <si>
    <t>70,5</t>
  </si>
  <si>
    <t>150,0</t>
  </si>
  <si>
    <t>Yadav Prateek</t>
  </si>
  <si>
    <t>1. Yadav Prateek</t>
  </si>
  <si>
    <t>Open (15.06.1994)/25</t>
  </si>
  <si>
    <t>74,50</t>
  </si>
  <si>
    <t>240,0</t>
  </si>
  <si>
    <t>135,0</t>
  </si>
  <si>
    <t>230,0</t>
  </si>
  <si>
    <t>Body Weight Category  90</t>
  </si>
  <si>
    <t>Arya Abhishek</t>
  </si>
  <si>
    <t>1. Arya Abhishek</t>
  </si>
  <si>
    <t>Open (27.09.1993)/26</t>
  </si>
  <si>
    <t>85,40</t>
  </si>
  <si>
    <t>190,0</t>
  </si>
  <si>
    <t>210,0</t>
  </si>
  <si>
    <t>225,0</t>
  </si>
  <si>
    <t>Makushin Oleg</t>
  </si>
  <si>
    <t>2. Makushin Oleg</t>
  </si>
  <si>
    <t>Open (09.07.1991)/28</t>
  </si>
  <si>
    <t>88,80</t>
  </si>
  <si>
    <t>195,0</t>
  </si>
  <si>
    <t>Jadeja Karandevsinh</t>
  </si>
  <si>
    <t>1. Jadeja Karandevsinh</t>
  </si>
  <si>
    <t>Masters 40-44 (01.11.1977)/42</t>
  </si>
  <si>
    <t>88,90</t>
  </si>
  <si>
    <t>Body Weight Category  100</t>
  </si>
  <si>
    <t>Dalal Rajat</t>
  </si>
  <si>
    <t>1. Dalal Rajat</t>
  </si>
  <si>
    <t>Juniors 20-23 (12.01.1996)/23</t>
  </si>
  <si>
    <t>95,70</t>
  </si>
  <si>
    <t>260,0</t>
  </si>
  <si>
    <t>280,0</t>
  </si>
  <si>
    <t>300,0</t>
  </si>
  <si>
    <t>145,0</t>
  </si>
  <si>
    <t>155,0</t>
  </si>
  <si>
    <t>312,5</t>
  </si>
  <si>
    <t>Open (12.01.1996)/23</t>
  </si>
  <si>
    <t>Abbasi Mohammadhossein</t>
  </si>
  <si>
    <t>2. Abbasi Mohammadhossein</t>
  </si>
  <si>
    <t>Open (22.12.1979)/39</t>
  </si>
  <si>
    <t>95,30</t>
  </si>
  <si>
    <t>IRN/Iran</t>
  </si>
  <si>
    <t>165,0</t>
  </si>
  <si>
    <t>175,0</t>
  </si>
  <si>
    <t>Tsvetkov Aleksandr</t>
  </si>
  <si>
    <t>1. Tsvetkov Aleksandr</t>
  </si>
  <si>
    <t>Masters 60-64 (10.04.1957)/62</t>
  </si>
  <si>
    <t>98,50</t>
  </si>
  <si>
    <t>Body Weight Category  110</t>
  </si>
  <si>
    <t>Bhatia Rishabh</t>
  </si>
  <si>
    <t>1. Bhatia Rishabh</t>
  </si>
  <si>
    <t>Juniors 20-23 (17.10.1997)/22</t>
  </si>
  <si>
    <t>104,50</t>
  </si>
  <si>
    <t>227,5</t>
  </si>
  <si>
    <t>112,5</t>
  </si>
  <si>
    <t>117,5</t>
  </si>
  <si>
    <t>222,5</t>
  </si>
  <si>
    <t>Azamathulla Mohammed</t>
  </si>
  <si>
    <t>1. Azamathulla Mohammed</t>
  </si>
  <si>
    <t>Open (23.11.1977)/42</t>
  </si>
  <si>
    <t>106,30</t>
  </si>
  <si>
    <t>250,0</t>
  </si>
  <si>
    <t>270,0</t>
  </si>
  <si>
    <t>132,5</t>
  </si>
  <si>
    <t>267,5</t>
  </si>
  <si>
    <t>285,0</t>
  </si>
  <si>
    <t>-. Semlev Vladimir</t>
  </si>
  <si>
    <t>Open (12.10.1981)/38</t>
  </si>
  <si>
    <t>107,60</t>
  </si>
  <si>
    <t>Masters 40-44 (23.11.1977)/42</t>
  </si>
  <si>
    <t>Masters</t>
  </si>
  <si>
    <t>Masters 50-54</t>
  </si>
  <si>
    <t>212,5</t>
  </si>
  <si>
    <t>218,4575</t>
  </si>
  <si>
    <t>Masters 45-49</t>
  </si>
  <si>
    <t>192,5635</t>
  </si>
  <si>
    <t>192,1623</t>
  </si>
  <si>
    <t>Man</t>
  </si>
  <si>
    <t>Teen</t>
  </si>
  <si>
    <t>Teen 13-15</t>
  </si>
  <si>
    <t>257,5755</t>
  </si>
  <si>
    <t>100</t>
  </si>
  <si>
    <t>747,5</t>
  </si>
  <si>
    <t>443,1554</t>
  </si>
  <si>
    <t>485,0</t>
  </si>
  <si>
    <t>411,3042</t>
  </si>
  <si>
    <t>110</t>
  </si>
  <si>
    <t>550,0</t>
  </si>
  <si>
    <t>314,3800</t>
  </si>
  <si>
    <t>575,0</t>
  </si>
  <si>
    <t>397,8713</t>
  </si>
  <si>
    <t>685,0</t>
  </si>
  <si>
    <t>389,2855</t>
  </si>
  <si>
    <t>90</t>
  </si>
  <si>
    <t>570,0</t>
  </si>
  <si>
    <t>359,5560</t>
  </si>
  <si>
    <t>590,0</t>
  </si>
  <si>
    <t>350,4600</t>
  </si>
  <si>
    <t>515,0</t>
  </si>
  <si>
    <t>317,4718</t>
  </si>
  <si>
    <t>507,5</t>
  </si>
  <si>
    <t>468,6906</t>
  </si>
  <si>
    <t>Masters 60-64</t>
  </si>
  <si>
    <t>520,0</t>
  </si>
  <si>
    <t>423,7868</t>
  </si>
  <si>
    <t>Masters 40-44</t>
  </si>
  <si>
    <t>397,0712</t>
  </si>
  <si>
    <t>400,0</t>
  </si>
  <si>
    <t>251,3484</t>
  </si>
  <si>
    <t>Chaudhary Aman</t>
  </si>
  <si>
    <t>1. Chaudhary Aman</t>
  </si>
  <si>
    <t>Juniors 20-23 (13.04.1996)/23</t>
  </si>
  <si>
    <t>65,00</t>
  </si>
  <si>
    <t>140,0</t>
  </si>
  <si>
    <t>162,5</t>
  </si>
  <si>
    <t>177,5</t>
  </si>
  <si>
    <t>187,5</t>
  </si>
  <si>
    <t>192,5</t>
  </si>
  <si>
    <t>Malygin Yuriy</t>
  </si>
  <si>
    <t>1. Malygin Yuriy</t>
  </si>
  <si>
    <t>Masters 50-54 (30.06.1967)/52</t>
  </si>
  <si>
    <t>92,60</t>
  </si>
  <si>
    <t>UKR/Druzhkovka</t>
  </si>
  <si>
    <t>Hari Dubey</t>
  </si>
  <si>
    <t>1. Hari Dubey</t>
  </si>
  <si>
    <t>Open (18.09.1986)/33</t>
  </si>
  <si>
    <t>275,0</t>
  </si>
  <si>
    <t>182,5</t>
  </si>
  <si>
    <t>265,0</t>
  </si>
  <si>
    <t>272,5</t>
  </si>
  <si>
    <t>450,0</t>
  </si>
  <si>
    <t>347,9850</t>
  </si>
  <si>
    <t>722,5</t>
  </si>
  <si>
    <t>410,5968</t>
  </si>
  <si>
    <t>280,8349</t>
  </si>
  <si>
    <t>Kochevatkin Dmitriy</t>
  </si>
  <si>
    <t>1. Kochevatkin Dmitriy</t>
  </si>
  <si>
    <t>Open (18.02.1976)/43</t>
  </si>
  <si>
    <t>87,60</t>
  </si>
  <si>
    <t>RUS/Volgograd</t>
  </si>
  <si>
    <t>295,0</t>
  </si>
  <si>
    <t>310,0</t>
  </si>
  <si>
    <t>223,0</t>
  </si>
  <si>
    <t>Masters 40-44 (18.02.1976)/43</t>
  </si>
  <si>
    <t>750,0</t>
  </si>
  <si>
    <t>466,0125</t>
  </si>
  <si>
    <t>480,4589</t>
  </si>
  <si>
    <t>Dhoondia Fatema</t>
  </si>
  <si>
    <t>1. Dhoondia Fatema</t>
  </si>
  <si>
    <t>Open (19.02.1989)/30</t>
  </si>
  <si>
    <t>47,40</t>
  </si>
  <si>
    <t>47,5</t>
  </si>
  <si>
    <t>Body Weight Category  56</t>
  </si>
  <si>
    <t>Golubtsova Yulia</t>
  </si>
  <si>
    <t>1. Golubtsova Yulia</t>
  </si>
  <si>
    <t>Open (26.07.1989)/30</t>
  </si>
  <si>
    <t>55,40</t>
  </si>
  <si>
    <t>57,5</t>
  </si>
  <si>
    <t>62,5</t>
  </si>
  <si>
    <t>Martinova Elena</t>
  </si>
  <si>
    <t>1. Martinova Elena</t>
  </si>
  <si>
    <t>Open (11.02.1993)/26</t>
  </si>
  <si>
    <t>56,40</t>
  </si>
  <si>
    <t>Maletskaya Svetlana</t>
  </si>
  <si>
    <t>1. Maletskaya Svetlana</t>
  </si>
  <si>
    <t>Open (04.06.1983)/36</t>
  </si>
  <si>
    <t>74,20</t>
  </si>
  <si>
    <t>RUS/Stavropol</t>
  </si>
  <si>
    <t>107,5</t>
  </si>
  <si>
    <t>Body Weight Category  82.5</t>
  </si>
  <si>
    <t>Yakovleva Irina</t>
  </si>
  <si>
    <t>1. Yakovleva Irina</t>
  </si>
  <si>
    <t>Open (08.01.1970)/49</t>
  </si>
  <si>
    <t>81,30</t>
  </si>
  <si>
    <t>RUS/Solnechnogorsk</t>
  </si>
  <si>
    <t>-. Trivedi Komal</t>
  </si>
  <si>
    <t>75,90</t>
  </si>
  <si>
    <t>Konyashkina Elena</t>
  </si>
  <si>
    <t>1. Konyashkina Elena</t>
  </si>
  <si>
    <t>Masters 45-49 (23.06.1974)/45</t>
  </si>
  <si>
    <t>80,20</t>
  </si>
  <si>
    <t>Knuutila Virpi-Sisko</t>
  </si>
  <si>
    <t>1. Knuutila Virpi-Sisko</t>
  </si>
  <si>
    <t>Open (11.10.1967)/52</t>
  </si>
  <si>
    <t>87,80</t>
  </si>
  <si>
    <t>FIN/Finland</t>
  </si>
  <si>
    <t>127,5</t>
  </si>
  <si>
    <t>146,0</t>
  </si>
  <si>
    <t>Masters 50-54 (11.10.1967)/52</t>
  </si>
  <si>
    <t>Peledutse Luchian</t>
  </si>
  <si>
    <t>1. Peledutse Luchian</t>
  </si>
  <si>
    <t>Teen 13-15 (16.08.2004)/15</t>
  </si>
  <si>
    <t>67,80</t>
  </si>
  <si>
    <t>RUS/Domodedovo</t>
  </si>
  <si>
    <t>Marin Nikita</t>
  </si>
  <si>
    <t>1. Marin Nikita</t>
  </si>
  <si>
    <t>Open (20.04.1990)/29</t>
  </si>
  <si>
    <t>Martinov Anton</t>
  </si>
  <si>
    <t>2. Martinov Anton</t>
  </si>
  <si>
    <t>Open (15.05.1986)/33</t>
  </si>
  <si>
    <t>74,40</t>
  </si>
  <si>
    <t>72,5</t>
  </si>
  <si>
    <t>Meleshin Dmitriy</t>
  </si>
  <si>
    <t>1. Meleshin Dmitriy</t>
  </si>
  <si>
    <t>Masters 40-44 (06.09.1978)/41</t>
  </si>
  <si>
    <t>Vidnye</t>
  </si>
  <si>
    <t>Stamenkovski Boshko</t>
  </si>
  <si>
    <t>1. Stamenkovski Boshko</t>
  </si>
  <si>
    <t>Masters 45-49 (08.01.1971)/48</t>
  </si>
  <si>
    <t>MKD/Sasa</t>
  </si>
  <si>
    <t>Boyarchenko Valeriy</t>
  </si>
  <si>
    <t>1. Boyarchenko Valeriy</t>
  </si>
  <si>
    <t>Masters 45-49 (28.11.1974)/45</t>
  </si>
  <si>
    <t>81,60</t>
  </si>
  <si>
    <t>RUS/Kirov</t>
  </si>
  <si>
    <t>Chilikin Anton</t>
  </si>
  <si>
    <t>1. Chilikin Anton</t>
  </si>
  <si>
    <t>Open (25.03.1992)/27</t>
  </si>
  <si>
    <t>90,00</t>
  </si>
  <si>
    <t>207,5</t>
  </si>
  <si>
    <t>Aksenchuk Vadim</t>
  </si>
  <si>
    <t>2. Aksenchuk Vadim</t>
  </si>
  <si>
    <t>Open (26.05.1982)/37</t>
  </si>
  <si>
    <t>88,10</t>
  </si>
  <si>
    <t>BLR/Belarus</t>
  </si>
  <si>
    <t>89,30</t>
  </si>
  <si>
    <t>Vetrov Vladimir</t>
  </si>
  <si>
    <t>1. Vetrov Vladimir</t>
  </si>
  <si>
    <t>Masters 55-59 (02.09.1964)/55</t>
  </si>
  <si>
    <t>86,20</t>
  </si>
  <si>
    <t>137,5</t>
  </si>
  <si>
    <t>Soldatov Vladimir</t>
  </si>
  <si>
    <t>1. Soldatov Vladimir</t>
  </si>
  <si>
    <t>Masters 60-64 (05.06.1958)/61</t>
  </si>
  <si>
    <t>85,30</t>
  </si>
  <si>
    <t>RUS/Troitsk</t>
  </si>
  <si>
    <t>Khudoleev Evgeniy</t>
  </si>
  <si>
    <t>1. Khudoleev Evgeniy</t>
  </si>
  <si>
    <t>Masters 70-74 (10.09.1946)/73</t>
  </si>
  <si>
    <t>RUS/Valday</t>
  </si>
  <si>
    <t>Petrov Dmitriy</t>
  </si>
  <si>
    <t>1. Petrov Dmitriy</t>
  </si>
  <si>
    <t>Open (29.01.1986)/33</t>
  </si>
  <si>
    <t>97,30</t>
  </si>
  <si>
    <t>95,50</t>
  </si>
  <si>
    <t>Petrov Aleksandr</t>
  </si>
  <si>
    <t>1. Petrov Aleksandr</t>
  </si>
  <si>
    <t>Masters 55-59 (17.07.1960)/59</t>
  </si>
  <si>
    <t>Goldman Igor</t>
  </si>
  <si>
    <t>1. Goldman Igor</t>
  </si>
  <si>
    <t>Masters 80up (21.08.1933)/86</t>
  </si>
  <si>
    <t>96,60</t>
  </si>
  <si>
    <t>Lazarev Denis</t>
  </si>
  <si>
    <t>1. Lazarev Denis</t>
  </si>
  <si>
    <t>Teen 16-17 (02.09.2003)/16</t>
  </si>
  <si>
    <t>Kubica Slavomir</t>
  </si>
  <si>
    <t>1. Kubica Slavomir</t>
  </si>
  <si>
    <t>Juniors 20-23 (15.02.1998)/21</t>
  </si>
  <si>
    <t>105,30</t>
  </si>
  <si>
    <t>SVK/Slovakia</t>
  </si>
  <si>
    <t>Kiryanov Aleksandr</t>
  </si>
  <si>
    <t>1. Kiryanov Aleksandr</t>
  </si>
  <si>
    <t>Open (15.04.1975)/44</t>
  </si>
  <si>
    <t>108,00</t>
  </si>
  <si>
    <t>RUS/Krasnoznamensk</t>
  </si>
  <si>
    <t>235,0</t>
  </si>
  <si>
    <t>Mantserov Aleksandr</t>
  </si>
  <si>
    <t>2. Mantserov Aleksandr</t>
  </si>
  <si>
    <t>Open (01.06.1983)/36</t>
  </si>
  <si>
    <t>110,00</t>
  </si>
  <si>
    <t>RUS/Omsk</t>
  </si>
  <si>
    <t>Kolybelin Vasiliy</t>
  </si>
  <si>
    <t>1. Kolybelin Vasiliy</t>
  </si>
  <si>
    <t>Masters 40-44 (27.12.1976)/42</t>
  </si>
  <si>
    <t>109,80</t>
  </si>
  <si>
    <t>Ilyin Andrey</t>
  </si>
  <si>
    <t>2. Ilyin Andrey</t>
  </si>
  <si>
    <t>Masters 40-44 (28.06.1976)/43</t>
  </si>
  <si>
    <t>106,90</t>
  </si>
  <si>
    <t>RUS/Vidnoye</t>
  </si>
  <si>
    <t>172,5</t>
  </si>
  <si>
    <t>Sizov Vladimir</t>
  </si>
  <si>
    <t>1. Sizov Vladimir</t>
  </si>
  <si>
    <t>Masters 55-59 (18.10.1963)/56</t>
  </si>
  <si>
    <t>107,80</t>
  </si>
  <si>
    <t>Body Weight Category  125</t>
  </si>
  <si>
    <t>Zheleznov Dmitriy</t>
  </si>
  <si>
    <t>1. Zheleznov Dmitriy</t>
  </si>
  <si>
    <t>Open (24.01.1993)/26</t>
  </si>
  <si>
    <t>118,40</t>
  </si>
  <si>
    <t>RUS/Bronnitsy</t>
  </si>
  <si>
    <t>237,5</t>
  </si>
  <si>
    <t>242,5</t>
  </si>
  <si>
    <t>Donskikh Aleksey</t>
  </si>
  <si>
    <t>2. Donskikh Aleksey</t>
  </si>
  <si>
    <t>Open (17.12.1985)/33</t>
  </si>
  <si>
    <t>120,60</t>
  </si>
  <si>
    <t>Zubr</t>
  </si>
  <si>
    <t>Shishov Aleksey</t>
  </si>
  <si>
    <t>1. Shishov Aleksey</t>
  </si>
  <si>
    <t>Masters 45-49 (21.03.1973)/46</t>
  </si>
  <si>
    <t>125,00</t>
  </si>
  <si>
    <t>RUS/Tula</t>
  </si>
  <si>
    <t>Zhiltsov Igor</t>
  </si>
  <si>
    <t>2. Zhiltsov Igor</t>
  </si>
  <si>
    <t>Masters 45-49 (14.08.1970)/49</t>
  </si>
  <si>
    <t>121,30</t>
  </si>
  <si>
    <t>Chuba Roman</t>
  </si>
  <si>
    <t>1. Chuba Roman</t>
  </si>
  <si>
    <t>Masters 65-69 (01.05.1954)/65</t>
  </si>
  <si>
    <t>114,20</t>
  </si>
  <si>
    <t>RUS/Vorkuta</t>
  </si>
  <si>
    <t>Body Weight Category  140+</t>
  </si>
  <si>
    <t>Nikolaev Maksim</t>
  </si>
  <si>
    <t>1. Nikolaev Maksim</t>
  </si>
  <si>
    <t>Open (26.07.1983)/36</t>
  </si>
  <si>
    <t>146,60</t>
  </si>
  <si>
    <t>106,1130</t>
  </si>
  <si>
    <t>94,7419</t>
  </si>
  <si>
    <t>82.5</t>
  </si>
  <si>
    <t>93,2597</t>
  </si>
  <si>
    <t>56</t>
  </si>
  <si>
    <t>68,4450</t>
  </si>
  <si>
    <t>56,5440</t>
  </si>
  <si>
    <t>38,9250</t>
  </si>
  <si>
    <t>123,6216</t>
  </si>
  <si>
    <t>29,5585</t>
  </si>
  <si>
    <t>48,4672</t>
  </si>
  <si>
    <t>Teen 16-17</t>
  </si>
  <si>
    <t>45,2880</t>
  </si>
  <si>
    <t>111,1695</t>
  </si>
  <si>
    <t>135,7200</t>
  </si>
  <si>
    <t>125</t>
  </si>
  <si>
    <t>134,0055</t>
  </si>
  <si>
    <t>130,0181</t>
  </si>
  <si>
    <t>123,7500</t>
  </si>
  <si>
    <t>117,6575</t>
  </si>
  <si>
    <t>140+</t>
  </si>
  <si>
    <t>115,6705</t>
  </si>
  <si>
    <t>114,1976</t>
  </si>
  <si>
    <t>107,5700</t>
  </si>
  <si>
    <t>105,8850</t>
  </si>
  <si>
    <t>100,8865</t>
  </si>
  <si>
    <t>50,2171</t>
  </si>
  <si>
    <t>Masters 55-59</t>
  </si>
  <si>
    <t>140,4696</t>
  </si>
  <si>
    <t>Masters 70-74</t>
  </si>
  <si>
    <t>132,1741</t>
  </si>
  <si>
    <t>Masters 65-69</t>
  </si>
  <si>
    <t>119,5537</t>
  </si>
  <si>
    <t>114,8010</t>
  </si>
  <si>
    <t>114,2531</t>
  </si>
  <si>
    <t>113,5850</t>
  </si>
  <si>
    <t>109,5934</t>
  </si>
  <si>
    <t>105,6524</t>
  </si>
  <si>
    <t>105,2795</t>
  </si>
  <si>
    <t>100,0825</t>
  </si>
  <si>
    <t>79,5216</t>
  </si>
  <si>
    <t>73,3813</t>
  </si>
  <si>
    <t>66,9737</t>
  </si>
  <si>
    <t>62,6841</t>
  </si>
  <si>
    <t>Masters 80up</t>
  </si>
  <si>
    <t>61,9710</t>
  </si>
  <si>
    <t>Result</t>
  </si>
  <si>
    <t>Tarasov Artem</t>
  </si>
  <si>
    <t>1. Tarasov Artem</t>
  </si>
  <si>
    <t>Open (31.07.1992)/27</t>
  </si>
  <si>
    <t>98,5680</t>
  </si>
  <si>
    <t>Korikov Yuriy</t>
  </si>
  <si>
    <t>1. Korikov Yuriy</t>
  </si>
  <si>
    <t>Open (24.04.1962)/57</t>
  </si>
  <si>
    <t>80,90</t>
  </si>
  <si>
    <t>Antares</t>
  </si>
  <si>
    <t>Valent Erik</t>
  </si>
  <si>
    <t>2. Valent Erik</t>
  </si>
  <si>
    <t>Open (05.10.1984)/35</t>
  </si>
  <si>
    <t>79,50</t>
  </si>
  <si>
    <t>Masters 55-59 (24.04.1962)/57</t>
  </si>
  <si>
    <t>Siska Jan</t>
  </si>
  <si>
    <t>1. Siska Jan</t>
  </si>
  <si>
    <t>Open (15.04.1980)/39</t>
  </si>
  <si>
    <t>120,00</t>
  </si>
  <si>
    <t>Body Weight Category  140</t>
  </si>
  <si>
    <t>Sakala Peter</t>
  </si>
  <si>
    <t>1. Sakala Peter</t>
  </si>
  <si>
    <t>Juniors 20-23 (09.08.1996)/23</t>
  </si>
  <si>
    <t>138,00</t>
  </si>
  <si>
    <t>Slovak republic</t>
  </si>
  <si>
    <t>320,0</t>
  </si>
  <si>
    <t>342,5</t>
  </si>
  <si>
    <t>352,5</t>
  </si>
  <si>
    <t>140</t>
  </si>
  <si>
    <t>182,5080</t>
  </si>
  <si>
    <t>121,2090</t>
  </si>
  <si>
    <t>120,7865</t>
  </si>
  <si>
    <t>120,5595</t>
  </si>
  <si>
    <t>153,1573</t>
  </si>
  <si>
    <t>Eremin Yuriy</t>
  </si>
  <si>
    <t>1. Eremin Yuriy</t>
  </si>
  <si>
    <t>Open (23.11.1983)/36</t>
  </si>
  <si>
    <t>RUS/Vologda</t>
  </si>
  <si>
    <t>247,5</t>
  </si>
  <si>
    <t>Kandaurov Sergey</t>
  </si>
  <si>
    <t>1. Kandaurov Sergey</t>
  </si>
  <si>
    <t>Masters 45-49 (29.05.1974)/45</t>
  </si>
  <si>
    <t>82,50</t>
  </si>
  <si>
    <t>1. Abbasi Mohammadhossein</t>
  </si>
  <si>
    <t>Filatov Leonid</t>
  </si>
  <si>
    <t>1. Filatov Leonid</t>
  </si>
  <si>
    <t>Masters 40-44 (14.09.1978)/41</t>
  </si>
  <si>
    <t>96,30</t>
  </si>
  <si>
    <t>RUS/Safonovo</t>
  </si>
  <si>
    <t>245,0</t>
  </si>
  <si>
    <t>Zaharov Sergey</t>
  </si>
  <si>
    <t>1. Zaharov Sergey</t>
  </si>
  <si>
    <t>Open (20.03.1991)/28</t>
  </si>
  <si>
    <t>109,30</t>
  </si>
  <si>
    <t>290,0</t>
  </si>
  <si>
    <t>Open (28.06.1976)/43</t>
  </si>
  <si>
    <t>1. Ilyin Andrey</t>
  </si>
  <si>
    <t>178,9508</t>
  </si>
  <si>
    <t>154,9625</t>
  </si>
  <si>
    <t>150,3345</t>
  </si>
  <si>
    <t>132,0426</t>
  </si>
  <si>
    <t>154,9949</t>
  </si>
  <si>
    <t>146,2677</t>
  </si>
  <si>
    <t>142,8111</t>
  </si>
  <si>
    <t>Jalilianafkham Mohsen</t>
  </si>
  <si>
    <t>1. Jalilianafkham Mohsen</t>
  </si>
  <si>
    <t>Masters 40-44 (21.09.1978)/41</t>
  </si>
  <si>
    <t>104,70</t>
  </si>
  <si>
    <t>Uherik Aladar</t>
  </si>
  <si>
    <t>1. Uherik Aladar</t>
  </si>
  <si>
    <t>Masters 45-49 (22.02.1972)/47</t>
  </si>
  <si>
    <t>108,60</t>
  </si>
  <si>
    <t>Freyded Rankyn</t>
  </si>
  <si>
    <t>1. Freyded Rankyn</t>
  </si>
  <si>
    <t>Open (07.10.1975)/44</t>
  </si>
  <si>
    <t>155,10</t>
  </si>
  <si>
    <t>CUB/Kuba</t>
  </si>
  <si>
    <t>340,0</t>
  </si>
  <si>
    <t>Masters 40-44 (07.10.1975)/44</t>
  </si>
  <si>
    <t>192,1521</t>
  </si>
  <si>
    <t>200,4146</t>
  </si>
  <si>
    <t>158,8192</t>
  </si>
  <si>
    <t>115,3925</t>
  </si>
  <si>
    <t>Vakhlamkina Olga</t>
  </si>
  <si>
    <t>1. Vakhlamkina Olga</t>
  </si>
  <si>
    <t>Open (19.02.1981)/38</t>
  </si>
  <si>
    <t>47,90</t>
  </si>
  <si>
    <t>RUS/Noginsk</t>
  </si>
  <si>
    <t>Parekh Nami</t>
  </si>
  <si>
    <t>1. Parekh Nami</t>
  </si>
  <si>
    <t>Open (01.05.1990)/29</t>
  </si>
  <si>
    <t>54,20</t>
  </si>
  <si>
    <t>55,0</t>
  </si>
  <si>
    <t>Bunina Elena</t>
  </si>
  <si>
    <t>2. Bunina Elena</t>
  </si>
  <si>
    <t>Open (26.06.1982)/37</t>
  </si>
  <si>
    <t>53,80</t>
  </si>
  <si>
    <t>Song Nataliya</t>
  </si>
  <si>
    <t>1. Song Nataliya</t>
  </si>
  <si>
    <t>Masters 40-44 (23.11.1975)/44</t>
  </si>
  <si>
    <t>57,40</t>
  </si>
  <si>
    <t>Tatarskaya Albina</t>
  </si>
  <si>
    <t>1. Tatarskaya Albina</t>
  </si>
  <si>
    <t>Open (11.02.1992)/27</t>
  </si>
  <si>
    <t>66,30</t>
  </si>
  <si>
    <t>157,5</t>
  </si>
  <si>
    <t>167,5</t>
  </si>
  <si>
    <t>Litvinova Anastasiya</t>
  </si>
  <si>
    <t>2. Litvinova Anastasiya</t>
  </si>
  <si>
    <t>Open (22.04.1982)/37</t>
  </si>
  <si>
    <t>65,40</t>
  </si>
  <si>
    <t>Verkhovskaya Olga</t>
  </si>
  <si>
    <t>3. Verkhovskaya Olga</t>
  </si>
  <si>
    <t>Open (11.12.1983)/36</t>
  </si>
  <si>
    <t>63,00</t>
  </si>
  <si>
    <t>Sukhraj Singh</t>
  </si>
  <si>
    <t>1. Sukhraj Singh</t>
  </si>
  <si>
    <t>Juniors 20-23 (11.11.1998)/21</t>
  </si>
  <si>
    <t>67,20</t>
  </si>
  <si>
    <t>Yuvraj Singh</t>
  </si>
  <si>
    <t>1. Yuvraj Singh</t>
  </si>
  <si>
    <t>Teen 18-19 (07.10.2000)/19</t>
  </si>
  <si>
    <t>71,00</t>
  </si>
  <si>
    <t>Sukhman Singh</t>
  </si>
  <si>
    <t>-. Sukhman Singh</t>
  </si>
  <si>
    <t>73,50</t>
  </si>
  <si>
    <t>Lukyanov Dmitriy</t>
  </si>
  <si>
    <t>1. Lukyanov Dmitriy</t>
  </si>
  <si>
    <t>Open (29.07.1980)/39</t>
  </si>
  <si>
    <t>74,00</t>
  </si>
  <si>
    <t>Sanveer Singh</t>
  </si>
  <si>
    <t>-. Sanveer Singh</t>
  </si>
  <si>
    <t>Teen 18-19 (13.04.2000)/19</t>
  </si>
  <si>
    <t>78,70</t>
  </si>
  <si>
    <t>Lazarenko Vladimir</t>
  </si>
  <si>
    <t>1. Lazarenko Vladimir</t>
  </si>
  <si>
    <t>Open (13.04.1984)/35</t>
  </si>
  <si>
    <t>82,00</t>
  </si>
  <si>
    <t>Yakushev Aleksandr</t>
  </si>
  <si>
    <t>2. Yakushev Aleksandr</t>
  </si>
  <si>
    <t>Open (26.10.1982)/37</t>
  </si>
  <si>
    <t>RUS/Vladimir</t>
  </si>
  <si>
    <t>Drozdov Nikita</t>
  </si>
  <si>
    <t>3. Drozdov Nikita</t>
  </si>
  <si>
    <t>Open (18.01.1987)/32</t>
  </si>
  <si>
    <t>Pavlenko Roman</t>
  </si>
  <si>
    <t>4. Pavlenko Roman</t>
  </si>
  <si>
    <t>Open (27.06.1990)/29</t>
  </si>
  <si>
    <t>Sobolev Aleksey</t>
  </si>
  <si>
    <t>1. Sobolev Aleksey</t>
  </si>
  <si>
    <t>Masters 40-44 (10.09.1979)/40</t>
  </si>
  <si>
    <t>79,30</t>
  </si>
  <si>
    <t>Styogantsev Andrey</t>
  </si>
  <si>
    <t>1. Styogantsev Andrey</t>
  </si>
  <si>
    <t>Masters 55-59 (27.06.1963)/56</t>
  </si>
  <si>
    <t>79,90</t>
  </si>
  <si>
    <t>Parth Dubey</t>
  </si>
  <si>
    <t>1. Parth Dubey</t>
  </si>
  <si>
    <t>Teen 18-19 (13.08.2001)/18</t>
  </si>
  <si>
    <t>89,40</t>
  </si>
  <si>
    <t>Lovyagin Sergey</t>
  </si>
  <si>
    <t>1. Lovyagin Sergey</t>
  </si>
  <si>
    <t>Open (30.08.1984)/35</t>
  </si>
  <si>
    <t>87,00</t>
  </si>
  <si>
    <t>RUS/Chekhov</t>
  </si>
  <si>
    <t>Ushakov Maksim</t>
  </si>
  <si>
    <t>1. Ushakov Maksim</t>
  </si>
  <si>
    <t>Masters 45-49 (22.05.1973)/46</t>
  </si>
  <si>
    <t>85,20</t>
  </si>
  <si>
    <t>Barla Mitilesh</t>
  </si>
  <si>
    <t>1. Barla Mitilesh</t>
  </si>
  <si>
    <t>Juniors 20-23 (21.06.1996)/23</t>
  </si>
  <si>
    <t>99,00</t>
  </si>
  <si>
    <t>Rahimov Bakhtiyor</t>
  </si>
  <si>
    <t>1. Rahimov Bakhtiyor</t>
  </si>
  <si>
    <t>Open (28.12.1981)/37</t>
  </si>
  <si>
    <t>95,90</t>
  </si>
  <si>
    <t>TJK/Dushanbe</t>
  </si>
  <si>
    <t>2. Barla Mitilesh</t>
  </si>
  <si>
    <t>Open (21.06.1996)/23</t>
  </si>
  <si>
    <t>Polukarov Andrey</t>
  </si>
  <si>
    <t>3. Polukarov Andrey</t>
  </si>
  <si>
    <t>Open (12.09.1981)/38</t>
  </si>
  <si>
    <t>94,20</t>
  </si>
  <si>
    <t>RUS/Lipetsk</t>
  </si>
  <si>
    <t>Mikhaylov Evgeniy</t>
  </si>
  <si>
    <t>1. Mikhaylov Evgeniy</t>
  </si>
  <si>
    <t>Masters 40-44 (23.06.1977)/42</t>
  </si>
  <si>
    <t>98,80</t>
  </si>
  <si>
    <t>RUS/Lunevo</t>
  </si>
  <si>
    <t>147,5</t>
  </si>
  <si>
    <t>395,0</t>
  </si>
  <si>
    <t>360,3782</t>
  </si>
  <si>
    <t>327,5</t>
  </si>
  <si>
    <t>350,9490</t>
  </si>
  <si>
    <t>232,5</t>
  </si>
  <si>
    <t>274,5592</t>
  </si>
  <si>
    <t>230,5500</t>
  </si>
  <si>
    <t>202,5</t>
  </si>
  <si>
    <t>218,2950</t>
  </si>
  <si>
    <t>208,9670</t>
  </si>
  <si>
    <t>288,1997</t>
  </si>
  <si>
    <t>Teen 18-19</t>
  </si>
  <si>
    <t>375,0</t>
  </si>
  <si>
    <t>269,2688</t>
  </si>
  <si>
    <t>196,5280</t>
  </si>
  <si>
    <t>542,5</t>
  </si>
  <si>
    <t>316,7115</t>
  </si>
  <si>
    <t>385,0</t>
  </si>
  <si>
    <t>289,2313</t>
  </si>
  <si>
    <t>537,5</t>
  </si>
  <si>
    <t>373,8044</t>
  </si>
  <si>
    <t>355,5945</t>
  </si>
  <si>
    <t>349,4275</t>
  </si>
  <si>
    <t>333,2822</t>
  </si>
  <si>
    <t>505,0</t>
  </si>
  <si>
    <t>331,6335</t>
  </si>
  <si>
    <t>291,2175</t>
  </si>
  <si>
    <t>437,5</t>
  </si>
  <si>
    <t>282,0125</t>
  </si>
  <si>
    <t>410,0</t>
  </si>
  <si>
    <t>244,9340</t>
  </si>
  <si>
    <t>339,7120</t>
  </si>
  <si>
    <t>452,5</t>
  </si>
  <si>
    <t>299,4419</t>
  </si>
  <si>
    <t>360,0</t>
  </si>
  <si>
    <t>295,3095</t>
  </si>
  <si>
    <t>430,0</t>
  </si>
  <si>
    <t>290,1019</t>
  </si>
  <si>
    <t>Body Weight Category  52</t>
  </si>
  <si>
    <t>Enina Elena</t>
  </si>
  <si>
    <t>1. Enina Elena</t>
  </si>
  <si>
    <t>Open (10.05.1989)/30</t>
  </si>
  <si>
    <t>50,60</t>
  </si>
  <si>
    <t>RUS/Kursk</t>
  </si>
  <si>
    <t>Dhillon Harneet</t>
  </si>
  <si>
    <t>2. Dhillon Harneet</t>
  </si>
  <si>
    <t>Open (17.10.1987)/32</t>
  </si>
  <si>
    <t>51,60</t>
  </si>
  <si>
    <t>25,0</t>
  </si>
  <si>
    <t>Majiziya Bhanu</t>
  </si>
  <si>
    <t>1. Majiziya Bhanu</t>
  </si>
  <si>
    <t>Open (01.12.1990)/29</t>
  </si>
  <si>
    <t>55,70</t>
  </si>
  <si>
    <t>Ivanyuk Eleonora</t>
  </si>
  <si>
    <t>1. Ivanyuk Eleonora</t>
  </si>
  <si>
    <t>Masters 45-49 (08.10.1970)/49</t>
  </si>
  <si>
    <t>54,80</t>
  </si>
  <si>
    <t>Nesterova Alina</t>
  </si>
  <si>
    <t>1. Nesterova Alina</t>
  </si>
  <si>
    <t>Juniors 20-23 (06.02.1996)/23</t>
  </si>
  <si>
    <t>Megalift Moskva</t>
  </si>
  <si>
    <t>-. Grigoryeva Nataliya</t>
  </si>
  <si>
    <t>Open (01.02.1983)/36</t>
  </si>
  <si>
    <t>58,50</t>
  </si>
  <si>
    <t>Repkin A.Yu.</t>
  </si>
  <si>
    <t>Chuprakova Ekaterina</t>
  </si>
  <si>
    <t>1. Chuprakova Ekaterina</t>
  </si>
  <si>
    <t>Open (11.05.1982)/37</t>
  </si>
  <si>
    <t>65,90</t>
  </si>
  <si>
    <t>Tokekar Bhavna</t>
  </si>
  <si>
    <t>1. Tokekar Bhavna</t>
  </si>
  <si>
    <t>Masters 45-49 (31.12.1971)/47</t>
  </si>
  <si>
    <t>66,50</t>
  </si>
  <si>
    <t>Kurdyukova Ekaterina</t>
  </si>
  <si>
    <t>1. Kurdyukova Ekaterina</t>
  </si>
  <si>
    <t>Open (07.10.1981)/38</t>
  </si>
  <si>
    <t>82,30</t>
  </si>
  <si>
    <t>Body Weight Category  90+</t>
  </si>
  <si>
    <t>Dedhia Alpa</t>
  </si>
  <si>
    <t>1. Dedhia Alpa</t>
  </si>
  <si>
    <t>Open (09.11.1984)/35</t>
  </si>
  <si>
    <t>98,90</t>
  </si>
  <si>
    <t>Smetankin Aleksey</t>
  </si>
  <si>
    <t>1. Smetankin Aleksey</t>
  </si>
  <si>
    <t>Teen 13-15 (26.09.2008)/11</t>
  </si>
  <si>
    <t>60,80</t>
  </si>
  <si>
    <t>Tulyakov N.</t>
  </si>
  <si>
    <t>Timofeev Aleksandr</t>
  </si>
  <si>
    <t>1. Timofeev Aleksandr</t>
  </si>
  <si>
    <t>Open (18.05.1991)/28</t>
  </si>
  <si>
    <t>66,70</t>
  </si>
  <si>
    <t>RUS/Aprelevka</t>
  </si>
  <si>
    <t>Patil Varad</t>
  </si>
  <si>
    <t>1. Patil Varad</t>
  </si>
  <si>
    <t>Open (06.06.1988)/31</t>
  </si>
  <si>
    <t>Jadeja Abhimanyusinh</t>
  </si>
  <si>
    <t>1. Jadeja Abhimanyusinh</t>
  </si>
  <si>
    <t>Teen 13-15 (25.12.2003)/15</t>
  </si>
  <si>
    <t>81,10</t>
  </si>
  <si>
    <t>Simon Rohan</t>
  </si>
  <si>
    <t>-. Simon Rohan</t>
  </si>
  <si>
    <t>Teen 16-17 (04.08.2003)/16</t>
  </si>
  <si>
    <t>Bukholtsev Maksim</t>
  </si>
  <si>
    <t>1. Bukholtsev Maksim</t>
  </si>
  <si>
    <t>Open (29.05.1991)/28</t>
  </si>
  <si>
    <t>81,20</t>
  </si>
  <si>
    <t>RUS/Ulan-Ude</t>
  </si>
  <si>
    <t>Open (04.08.2003)/16</t>
  </si>
  <si>
    <t>Srivastava Ruben</t>
  </si>
  <si>
    <t>1. Srivastava Ruben</t>
  </si>
  <si>
    <t>Masters 45-49 (07.10.1974)/45</t>
  </si>
  <si>
    <t>77,40</t>
  </si>
  <si>
    <t>Gahlot Deven</t>
  </si>
  <si>
    <t>1. Gahlot Deven</t>
  </si>
  <si>
    <t>Teen 18-19 (07.03.2001)/18</t>
  </si>
  <si>
    <t>83,20</t>
  </si>
  <si>
    <t>Moses Mervin</t>
  </si>
  <si>
    <t>1. Moses Mervin</t>
  </si>
  <si>
    <t>Juniors 20-23 (17.09.1999)/20</t>
  </si>
  <si>
    <t>88,50</t>
  </si>
  <si>
    <t>255,0</t>
  </si>
  <si>
    <t>262,5</t>
  </si>
  <si>
    <t>Open (17.09.1999)/20</t>
  </si>
  <si>
    <t>Repkin Artem</t>
  </si>
  <si>
    <t>1. Repkin Artem</t>
  </si>
  <si>
    <t>Open (24.06.1994)/25</t>
  </si>
  <si>
    <t>95,20</t>
  </si>
  <si>
    <t>252,5</t>
  </si>
  <si>
    <t>Ganesh Chand</t>
  </si>
  <si>
    <t>1. Ganesh Chand</t>
  </si>
  <si>
    <t>Masters 40-44 (06.09.1979)/40</t>
  </si>
  <si>
    <t>95,00</t>
  </si>
  <si>
    <t>Chaudhary Ayush</t>
  </si>
  <si>
    <t>1. Chaudhary Ayush</t>
  </si>
  <si>
    <t>Juniors 20-23 (18.10.1999)/20</t>
  </si>
  <si>
    <t>Gurylev Nikita</t>
  </si>
  <si>
    <t>1. Gurylev Nikita</t>
  </si>
  <si>
    <t>Open (10.01.1995)/24</t>
  </si>
  <si>
    <t>Bodrov Maksim</t>
  </si>
  <si>
    <t>1. Bodrov Maksim</t>
  </si>
  <si>
    <t>Masters 45-49 (05.10.1973)/46</t>
  </si>
  <si>
    <t>102,10</t>
  </si>
  <si>
    <t>205,7570</t>
  </si>
  <si>
    <t>307,5</t>
  </si>
  <si>
    <t>366,0480</t>
  </si>
  <si>
    <t>337,5</t>
  </si>
  <si>
    <t>353,8350</t>
  </si>
  <si>
    <t>52</t>
  </si>
  <si>
    <t>297,5</t>
  </si>
  <si>
    <t>336,6808</t>
  </si>
  <si>
    <t>274,9950</t>
  </si>
  <si>
    <t>345,0</t>
  </si>
  <si>
    <t>271,7565</t>
  </si>
  <si>
    <t>261,8840</t>
  </si>
  <si>
    <t>90+</t>
  </si>
  <si>
    <t>179,6750</t>
  </si>
  <si>
    <t>292,9888</t>
  </si>
  <si>
    <t>263,0459</t>
  </si>
  <si>
    <t>415,0</t>
  </si>
  <si>
    <t>266,0565</t>
  </si>
  <si>
    <t>317,5</t>
  </si>
  <si>
    <t>206,9624</t>
  </si>
  <si>
    <t>217,5</t>
  </si>
  <si>
    <t>178,8503</t>
  </si>
  <si>
    <t>612,5</t>
  </si>
  <si>
    <t>378,3412</t>
  </si>
  <si>
    <t>560,0</t>
  </si>
  <si>
    <t>316,6800</t>
  </si>
  <si>
    <t>425,9631</t>
  </si>
  <si>
    <t>660,0</t>
  </si>
  <si>
    <t>392,2380</t>
  </si>
  <si>
    <t>358,2150</t>
  </si>
  <si>
    <t>632,5</t>
  </si>
  <si>
    <t>355,7813</t>
  </si>
  <si>
    <t>462,5</t>
  </si>
  <si>
    <t>349,6962</t>
  </si>
  <si>
    <t>344,7931</t>
  </si>
  <si>
    <t>460,0</t>
  </si>
  <si>
    <t>326,6312</t>
  </si>
  <si>
    <t>490,0</t>
  </si>
  <si>
    <t>291,5010</t>
  </si>
  <si>
    <t>Palvinder Singh</t>
  </si>
  <si>
    <t>1. Palvinder Singh</t>
  </si>
  <si>
    <t>Teen 13-15 (20.12.2004)/14</t>
  </si>
  <si>
    <t>84,30</t>
  </si>
  <si>
    <t>Singh Daljeet</t>
  </si>
  <si>
    <t>1. Singh Daljeet</t>
  </si>
  <si>
    <t>Masters 40-44 (01.10.1979)/40</t>
  </si>
  <si>
    <t>87,90</t>
  </si>
  <si>
    <t>290,5</t>
  </si>
  <si>
    <t>240,5</t>
  </si>
  <si>
    <t>224,1371</t>
  </si>
  <si>
    <t>640,0</t>
  </si>
  <si>
    <t>396,8640</t>
  </si>
  <si>
    <t>Byambaa Tsegmed</t>
  </si>
  <si>
    <t>1. Byambaa Tsegmed</t>
  </si>
  <si>
    <t>Masters 75-79 (09.05.1940)/79</t>
  </si>
  <si>
    <t>73,20</t>
  </si>
  <si>
    <t>MNG/Mongoliya</t>
  </si>
  <si>
    <t>188,0</t>
  </si>
  <si>
    <t>Masters 75-79</t>
  </si>
  <si>
    <t>604,4965</t>
  </si>
  <si>
    <t>Body Weight Category  44</t>
  </si>
  <si>
    <t>Shah Bhavna</t>
  </si>
  <si>
    <t>1. Shah Bhavna</t>
  </si>
  <si>
    <t>Open (16.05.1976)/43</t>
  </si>
  <si>
    <t>43,40</t>
  </si>
  <si>
    <t>27,5</t>
  </si>
  <si>
    <t>Masters 40-44 (16.05.1976)/43</t>
  </si>
  <si>
    <t>Khorkhorova Anastasiya</t>
  </si>
  <si>
    <t>1. Khorkhorova Anastasiya</t>
  </si>
  <si>
    <t>Open (22.03.1993)/26</t>
  </si>
  <si>
    <t>46,20</t>
  </si>
  <si>
    <t>Mostovaya Mariya</t>
  </si>
  <si>
    <t>1. Mostovaya Mariya</t>
  </si>
  <si>
    <t>Open (19.11.1985)/34</t>
  </si>
  <si>
    <t>RUS/Khimki</t>
  </si>
  <si>
    <t>Stupina Natalya</t>
  </si>
  <si>
    <t>2. Stupina Natalya</t>
  </si>
  <si>
    <t>Open (12.07.1993)/26</t>
  </si>
  <si>
    <t>55,80</t>
  </si>
  <si>
    <t>Koroleva Sofya</t>
  </si>
  <si>
    <t>1. Koroleva Sofya</t>
  </si>
  <si>
    <t>Teen 18-19 (13.07.2001)/18</t>
  </si>
  <si>
    <t>59,00</t>
  </si>
  <si>
    <t>RUS/Lytkarino</t>
  </si>
  <si>
    <t>Makushina Tatyana</t>
  </si>
  <si>
    <t>1. Makushina Tatyana</t>
  </si>
  <si>
    <t>Juniors 20-23 (05.06.1997)/22</t>
  </si>
  <si>
    <t>59,30</t>
  </si>
  <si>
    <t>RUS/Penza</t>
  </si>
  <si>
    <t>Lukyanova Marina</t>
  </si>
  <si>
    <t>1. Lukyanova Marina</t>
  </si>
  <si>
    <t>Open (09.02.1972)/47</t>
  </si>
  <si>
    <t>67,00</t>
  </si>
  <si>
    <t>67,50</t>
  </si>
  <si>
    <t>Smetankina Vera</t>
  </si>
  <si>
    <t>1. Smetankina Vera</t>
  </si>
  <si>
    <t>Masters 40-44 (30.06.1978)/41</t>
  </si>
  <si>
    <t>81,50</t>
  </si>
  <si>
    <t>99,40</t>
  </si>
  <si>
    <t>Golovanov Vsevolod</t>
  </si>
  <si>
    <t>1. Golovanov Vsevolod</t>
  </si>
  <si>
    <t>Teen 13-15 (19.02.2005)/14</t>
  </si>
  <si>
    <t>47,10</t>
  </si>
  <si>
    <t>Ivanov Yulian</t>
  </si>
  <si>
    <t>1. Ivanov Yulian</t>
  </si>
  <si>
    <t>Juniors 20-23 (23.09.1997)/22</t>
  </si>
  <si>
    <t>Fokin Nikolay</t>
  </si>
  <si>
    <t>2. Fokin Nikolay</t>
  </si>
  <si>
    <t>Juniors 20-23 (26.06.1998)/21</t>
  </si>
  <si>
    <t>59,40</t>
  </si>
  <si>
    <t>RUS/Pushkino</t>
  </si>
  <si>
    <t>Zubkov Egor</t>
  </si>
  <si>
    <t>1. Zubkov Egor</t>
  </si>
  <si>
    <t>Teen 13-15 (04.02.2005)/14</t>
  </si>
  <si>
    <t>Kantsurov Sergey</t>
  </si>
  <si>
    <t>1. Kantsurov Sergey</t>
  </si>
  <si>
    <t>Open (14.03.1991)/28</t>
  </si>
  <si>
    <t>65,80</t>
  </si>
  <si>
    <t>Maslov Maksim</t>
  </si>
  <si>
    <t>2. Maslov Maksim</t>
  </si>
  <si>
    <t>Open (08.09.1982)/37</t>
  </si>
  <si>
    <t>66,00</t>
  </si>
  <si>
    <t>3. Melnikov Aleksey</t>
  </si>
  <si>
    <t>Open (06.09.1993)/26</t>
  </si>
  <si>
    <t>67,10</t>
  </si>
  <si>
    <t>4. Kazakov Aleksey</t>
  </si>
  <si>
    <t>Open (20.07.1993)/26</t>
  </si>
  <si>
    <t>Zlobin Igor</t>
  </si>
  <si>
    <t>1. Zlobin Igor</t>
  </si>
  <si>
    <t>Masters 50-54 (17.03.1966)/53</t>
  </si>
  <si>
    <t>66,80</t>
  </si>
  <si>
    <t>RUS/Zelenograd</t>
  </si>
  <si>
    <t>Chilachava Kakhaber</t>
  </si>
  <si>
    <t>1. Chilachava Kakhaber</t>
  </si>
  <si>
    <t>Teen 16-17 (20.03.2003)/16</t>
  </si>
  <si>
    <t>74,90</t>
  </si>
  <si>
    <t>1. Sukhman Singh</t>
  </si>
  <si>
    <t>72,60</t>
  </si>
  <si>
    <t>Izmeystyev Aleksandr</t>
  </si>
  <si>
    <t>1. Izmeystyev Aleksandr</t>
  </si>
  <si>
    <t>Open (03.11.1990)/29</t>
  </si>
  <si>
    <t>RUS/Nizhniy Novgorod</t>
  </si>
  <si>
    <t>Usenko Viktor</t>
  </si>
  <si>
    <t>2. Usenko Viktor</t>
  </si>
  <si>
    <t>Open (25.10.1989)/30</t>
  </si>
  <si>
    <t>71,40</t>
  </si>
  <si>
    <t>RUS/Korolev</t>
  </si>
  <si>
    <t>Gozdinskiy Maksim</t>
  </si>
  <si>
    <t>3. Gozdinskiy Maksim</t>
  </si>
  <si>
    <t>Open (26.11.1994)/25</t>
  </si>
  <si>
    <t>69,50</t>
  </si>
  <si>
    <t>RUS/Petropavlovsk-Kamchatskiy</t>
  </si>
  <si>
    <t>lityshev Vladimir</t>
  </si>
  <si>
    <t>4. lityshev Vladimir</t>
  </si>
  <si>
    <t>Open (12.06.1991)/28</t>
  </si>
  <si>
    <t>72,40</t>
  </si>
  <si>
    <t>Sidorkin Aleksandr</t>
  </si>
  <si>
    <t>5. Sidorkin Aleksandr</t>
  </si>
  <si>
    <t>Open (10.11.1986)/33</t>
  </si>
  <si>
    <t>74,70</t>
  </si>
  <si>
    <t>6. Fedorov Artemiy</t>
  </si>
  <si>
    <t>Open (01.09.1992)/27</t>
  </si>
  <si>
    <t>7. Sichev Denis</t>
  </si>
  <si>
    <t>Open (23.02.1990)/29</t>
  </si>
  <si>
    <t>8. Koklin Andrey</t>
  </si>
  <si>
    <t>Open (15.09.1992)/27</t>
  </si>
  <si>
    <t>RUS/Orekhovo-Zuyevo</t>
  </si>
  <si>
    <t>9. Pchelintsev Aleksey</t>
  </si>
  <si>
    <t>Open (10.11.1985)/34</t>
  </si>
  <si>
    <t>-. Siroezhkin Dmitriy</t>
  </si>
  <si>
    <t>Open (20.04.1987)/32</t>
  </si>
  <si>
    <t>73,60</t>
  </si>
  <si>
    <t>Rubichev Dmitriy</t>
  </si>
  <si>
    <t>1. Rubichev Dmitriy</t>
  </si>
  <si>
    <t>Masters 45-49 (29.01.1973)/46</t>
  </si>
  <si>
    <t>Pichugin Vladislav</t>
  </si>
  <si>
    <t>1. Pichugin Vladislav</t>
  </si>
  <si>
    <t>Teen 13-15 (03.01.2004)/15</t>
  </si>
  <si>
    <t>80,80</t>
  </si>
  <si>
    <t>RUS/Beloozerskiy</t>
  </si>
  <si>
    <t>Matveev Ilya</t>
  </si>
  <si>
    <t>1. Matveev Ilya</t>
  </si>
  <si>
    <t>Teen 16-17 (11.02.2002)/17</t>
  </si>
  <si>
    <t>1. Sanveer Singh</t>
  </si>
  <si>
    <t>Ivaschenko Kirill</t>
  </si>
  <si>
    <t>1. Ivaschenko Kirill</t>
  </si>
  <si>
    <t>Juniors 20-23 (21.10.1996)/23</t>
  </si>
  <si>
    <t>Vasilenko Evgeniy</t>
  </si>
  <si>
    <t>1. Vasilenko Evgeniy</t>
  </si>
  <si>
    <t>2. Danilin Dmitriy</t>
  </si>
  <si>
    <t>Open (08.12.1988)/31</t>
  </si>
  <si>
    <t>-. Tyutyunov Mikhail</t>
  </si>
  <si>
    <t>Open (22.03.1986)/33</t>
  </si>
  <si>
    <t>80,30</t>
  </si>
  <si>
    <t>RUS/Rostov-na-Donu</t>
  </si>
  <si>
    <t>Sklyarov Yuriy</t>
  </si>
  <si>
    <t>1. Sklyarov Yuriy</t>
  </si>
  <si>
    <t>Masters 40-44 (17.07.1978)/41</t>
  </si>
  <si>
    <t>RUS/Novyy Urengoy</t>
  </si>
  <si>
    <t>Sitenskikh Nikolay</t>
  </si>
  <si>
    <t>1. Sitenskikh Nikolay</t>
  </si>
  <si>
    <t>Masters 45-49 (27.05.1974)/45</t>
  </si>
  <si>
    <t>Fateev Vladimir</t>
  </si>
  <si>
    <t>1. Fateev Vladimir</t>
  </si>
  <si>
    <t>Masters 55-59 (01.08.1964)/55</t>
  </si>
  <si>
    <t>76,40</t>
  </si>
  <si>
    <t>Busov Aleksey Borisovich</t>
  </si>
  <si>
    <t>Rodionov Mikhail</t>
  </si>
  <si>
    <t>1. Rodionov Mikhail</t>
  </si>
  <si>
    <t>Masters 60-64 (24.10.1957)/62</t>
  </si>
  <si>
    <t>RUS/Naryan-Mar</t>
  </si>
  <si>
    <t>-. Saenkov Vladimir</t>
  </si>
  <si>
    <t>Masters 60-64 (24.03.1959)/60</t>
  </si>
  <si>
    <t>Ryabtsev Evgeniy</t>
  </si>
  <si>
    <t>1. Ryabtsev Evgeniy</t>
  </si>
  <si>
    <t>Open (08.05.1988)/31</t>
  </si>
  <si>
    <t>89,50</t>
  </si>
  <si>
    <t>RUS/Voronezh</t>
  </si>
  <si>
    <t>Savin Igor</t>
  </si>
  <si>
    <t>2. Savin Igor</t>
  </si>
  <si>
    <t>Open (12.01.1987)/32</t>
  </si>
  <si>
    <t>88,20</t>
  </si>
  <si>
    <t>Ustyuzhanin Aleksandr</t>
  </si>
  <si>
    <t>3. Ustyuzhanin Aleksandr</t>
  </si>
  <si>
    <t>Open (05.05.1984)/35</t>
  </si>
  <si>
    <t>85,60</t>
  </si>
  <si>
    <t>Grammatchikov Aleksandr</t>
  </si>
  <si>
    <t>4. Grammatchikov Aleksandr</t>
  </si>
  <si>
    <t>Open (27.02.1985)/34</t>
  </si>
  <si>
    <t>87,40</t>
  </si>
  <si>
    <t>RUS/Podolsk</t>
  </si>
  <si>
    <t>Groysman Alon</t>
  </si>
  <si>
    <t>5. Groysman Alon</t>
  </si>
  <si>
    <t>Open (28.06.1995)/24</t>
  </si>
  <si>
    <t>-. Rachkov Aleksey</t>
  </si>
  <si>
    <t>Open (13.05.1984)/35</t>
  </si>
  <si>
    <t>87,70</t>
  </si>
  <si>
    <t>-. Bushuev Stanislav</t>
  </si>
  <si>
    <t>Open (09.05.1982)/37</t>
  </si>
  <si>
    <t>88,40</t>
  </si>
  <si>
    <t>Parlyuk Maksim</t>
  </si>
  <si>
    <t>1. Parlyuk Maksim</t>
  </si>
  <si>
    <t>Masters 40-44 (29.07.1979)/40</t>
  </si>
  <si>
    <t>86,40</t>
  </si>
  <si>
    <t>RUS/Novozybkov</t>
  </si>
  <si>
    <t>Deev Artem</t>
  </si>
  <si>
    <t>1. Deev Artem</t>
  </si>
  <si>
    <t>Teen 16-17 (23.06.2003)/16</t>
  </si>
  <si>
    <t>98,30</t>
  </si>
  <si>
    <t>Kanakov Kirill</t>
  </si>
  <si>
    <t>1. Kanakov Kirill</t>
  </si>
  <si>
    <t>Juniors 20-23 (15.02.1996)/23</t>
  </si>
  <si>
    <t>95,60</t>
  </si>
  <si>
    <t>Belov Anton</t>
  </si>
  <si>
    <t>1. Belov Anton</t>
  </si>
  <si>
    <t>Open (24.03.1985)/34</t>
  </si>
  <si>
    <t>99,90</t>
  </si>
  <si>
    <t>RUS/Lipki</t>
  </si>
  <si>
    <t>Babin Petr</t>
  </si>
  <si>
    <t>2. Babin Petr</t>
  </si>
  <si>
    <t>Open (25.03.1958)/61</t>
  </si>
  <si>
    <t>96,10</t>
  </si>
  <si>
    <t>RUS/Tynda</t>
  </si>
  <si>
    <t>Parinov Igor</t>
  </si>
  <si>
    <t>3. Parinov Igor</t>
  </si>
  <si>
    <t>Open (27.06.1983)/36</t>
  </si>
  <si>
    <t>93,10</t>
  </si>
  <si>
    <t>RUS/Odintsovo</t>
  </si>
  <si>
    <t>Yankovskiy Dmitriy</t>
  </si>
  <si>
    <t>4. Yankovskiy Dmitriy</t>
  </si>
  <si>
    <t>Open (16.04.1985)/34</t>
  </si>
  <si>
    <t>RUS/Krasnogorsk</t>
  </si>
  <si>
    <t>Chekmarev Sergey</t>
  </si>
  <si>
    <t>5. Chekmarev Sergey</t>
  </si>
  <si>
    <t>Open (01.06.1995)/24</t>
  </si>
  <si>
    <t>98,60</t>
  </si>
  <si>
    <t>Udalov Ivan</t>
  </si>
  <si>
    <t>6. Udalov Ivan</t>
  </si>
  <si>
    <t>Open (05.06.1990)/29</t>
  </si>
  <si>
    <t>92,90</t>
  </si>
  <si>
    <t>7. Boyko Eduard</t>
  </si>
  <si>
    <t>Open (26.09.1990)/29</t>
  </si>
  <si>
    <t>96,20</t>
  </si>
  <si>
    <t>Retyunskikh Aleksandr</t>
  </si>
  <si>
    <t>8. Retyunskikh Aleksandr</t>
  </si>
  <si>
    <t>Open (11.10.1982)/37</t>
  </si>
  <si>
    <t>97,20</t>
  </si>
  <si>
    <t>RUS/Ryazan</t>
  </si>
  <si>
    <t>9. Ermakov Sergey</t>
  </si>
  <si>
    <t>Open (30.08.1990)/29</t>
  </si>
  <si>
    <t>98,20</t>
  </si>
  <si>
    <t>Volkov Vyacheslav</t>
  </si>
  <si>
    <t>1. Volkov Vyacheslav</t>
  </si>
  <si>
    <t>Masters 45-49 (13.11.1971)/48</t>
  </si>
  <si>
    <t>97,10</t>
  </si>
  <si>
    <t>Serov Aleksandr</t>
  </si>
  <si>
    <t>2. Serov Aleksandr</t>
  </si>
  <si>
    <t>Masters 45-49 (25.09.1974)/45</t>
  </si>
  <si>
    <t>91,60</t>
  </si>
  <si>
    <t>Zinkevich Pavel</t>
  </si>
  <si>
    <t>1. Zinkevich Pavel</t>
  </si>
  <si>
    <t>Masters 55-59 (26.03.1964)/55</t>
  </si>
  <si>
    <t>RUS/Kazan</t>
  </si>
  <si>
    <t>1. Babin Petr</t>
  </si>
  <si>
    <t>Masters 60-64 (25.03.1958)/61</t>
  </si>
  <si>
    <t>Namazov Ruslan</t>
  </si>
  <si>
    <t>1. Namazov Ruslan</t>
  </si>
  <si>
    <t>Open (07.01.1994)/25</t>
  </si>
  <si>
    <t>106,80</t>
  </si>
  <si>
    <t>Kiriyak Oleg</t>
  </si>
  <si>
    <t>1. Kiriyak Oleg</t>
  </si>
  <si>
    <t>Masters 40-44 (17.02.1976)/43</t>
  </si>
  <si>
    <t>106,70</t>
  </si>
  <si>
    <t>1. Fokin Nikolay</t>
  </si>
  <si>
    <t>Masters 50-54 (15.02.1966)/53</t>
  </si>
  <si>
    <t>107,00</t>
  </si>
  <si>
    <t>Frank Vyacheslav</t>
  </si>
  <si>
    <t>1. Frank Vyacheslav</t>
  </si>
  <si>
    <t>Masters 55-59 (03.03.1962)/57</t>
  </si>
  <si>
    <t>RUS/Pavlovo</t>
  </si>
  <si>
    <t>Yanushkin Nikita</t>
  </si>
  <si>
    <t>1. Yanushkin Nikita</t>
  </si>
  <si>
    <t>Teen 16-17 (15.04.2002)/17</t>
  </si>
  <si>
    <t>123,00</t>
  </si>
  <si>
    <t>Bulgak Viorel</t>
  </si>
  <si>
    <t>1. Bulgak Viorel</t>
  </si>
  <si>
    <t>Open (10.10.1985)/34</t>
  </si>
  <si>
    <t>110,50</t>
  </si>
  <si>
    <t>RUS/Zhukovskiy</t>
  </si>
  <si>
    <t>Adamov Vladimir</t>
  </si>
  <si>
    <t>2. Adamov Vladimir</t>
  </si>
  <si>
    <t>Open (25.04.1986)/33</t>
  </si>
  <si>
    <t>117,40</t>
  </si>
  <si>
    <t>RUS/Syzran</t>
  </si>
  <si>
    <t>Demidov Kirill</t>
  </si>
  <si>
    <t>3. Demidov Kirill</t>
  </si>
  <si>
    <t>Open (17.12.1988)/30</t>
  </si>
  <si>
    <t>115,10</t>
  </si>
  <si>
    <t>RUS/Velikiy Novgorod</t>
  </si>
  <si>
    <t>Naroditskiy Ilya</t>
  </si>
  <si>
    <t>-. Naroditskiy Ilya</t>
  </si>
  <si>
    <t>Open (12.07.1989)/30</t>
  </si>
  <si>
    <t>110,90</t>
  </si>
  <si>
    <t>Markov Aleksey</t>
  </si>
  <si>
    <t>1. Markov Aleksey</t>
  </si>
  <si>
    <t>Masters 40-44 (26.02.1977)/42</t>
  </si>
  <si>
    <t>112,30</t>
  </si>
  <si>
    <t>Bichkov Igor</t>
  </si>
  <si>
    <t>1. Bichkov Igor</t>
  </si>
  <si>
    <t>Masters 45-49 (18.06.1970)/49</t>
  </si>
  <si>
    <t>116,50</t>
  </si>
  <si>
    <t>dinamo 32</t>
  </si>
  <si>
    <t>Nikiforov Aleksandr</t>
  </si>
  <si>
    <t>1. Nikiforov Aleksandr</t>
  </si>
  <si>
    <t>Open (18.03.1973)/46</t>
  </si>
  <si>
    <t>145,30</t>
  </si>
  <si>
    <t>RUS/Perm</t>
  </si>
  <si>
    <t>Masters 45-49 (18.03.1973)/46</t>
  </si>
  <si>
    <t>62,5625</t>
  </si>
  <si>
    <t>72,2789</t>
  </si>
  <si>
    <t>90,4900</t>
  </si>
  <si>
    <t>73,7100</t>
  </si>
  <si>
    <t>48,5440</t>
  </si>
  <si>
    <t>44,4933</t>
  </si>
  <si>
    <t>44</t>
  </si>
  <si>
    <t>38,1120</t>
  </si>
  <si>
    <t>37,6582</t>
  </si>
  <si>
    <t>70,5966</t>
  </si>
  <si>
    <t>39,2935</t>
  </si>
  <si>
    <t>34,0181</t>
  </si>
  <si>
    <t>89,5960</t>
  </si>
  <si>
    <t>83,5319</t>
  </si>
  <si>
    <t>77,7556</t>
  </si>
  <si>
    <t>75,3967</t>
  </si>
  <si>
    <t>71,8795</t>
  </si>
  <si>
    <t>69,8460</t>
  </si>
  <si>
    <t>60,0240</t>
  </si>
  <si>
    <t>51,4164</t>
  </si>
  <si>
    <t>38,7813</t>
  </si>
  <si>
    <t>101,5980</t>
  </si>
  <si>
    <t>97,8698</t>
  </si>
  <si>
    <t>83,3149</t>
  </si>
  <si>
    <t>75,6945</t>
  </si>
  <si>
    <t>67,0367</t>
  </si>
  <si>
    <t>116,3100</t>
  </si>
  <si>
    <t>115,1690</t>
  </si>
  <si>
    <t>112,1141</t>
  </si>
  <si>
    <t>110,4750</t>
  </si>
  <si>
    <t>107,1070</t>
  </si>
  <si>
    <t>102,0596</t>
  </si>
  <si>
    <t>101,0975</t>
  </si>
  <si>
    <t>100,7224</t>
  </si>
  <si>
    <t>100,4343</t>
  </si>
  <si>
    <t>100,0980</t>
  </si>
  <si>
    <t>100,0873</t>
  </si>
  <si>
    <t>100,0790</t>
  </si>
  <si>
    <t>97,6345</t>
  </si>
  <si>
    <t>97,4689</t>
  </si>
  <si>
    <t>96,1520</t>
  </si>
  <si>
    <t>94,9585</t>
  </si>
  <si>
    <t>91,9485</t>
  </si>
  <si>
    <t>91,4830</t>
  </si>
  <si>
    <t>90,6440</t>
  </si>
  <si>
    <t>90,1552</t>
  </si>
  <si>
    <t>88,0515</t>
  </si>
  <si>
    <t>87,1010</t>
  </si>
  <si>
    <t>84,2240</t>
  </si>
  <si>
    <t>83,5447</t>
  </si>
  <si>
    <t>139,4134</t>
  </si>
  <si>
    <t>124,4454</t>
  </si>
  <si>
    <t>122,7340</t>
  </si>
  <si>
    <t>111,5232</t>
  </si>
  <si>
    <t>108,0222</t>
  </si>
  <si>
    <t>106,8932</t>
  </si>
  <si>
    <t>106,8598</t>
  </si>
  <si>
    <t>104,0742</t>
  </si>
  <si>
    <t>99,3969</t>
  </si>
  <si>
    <t>98,0432</t>
  </si>
  <si>
    <t>96,1091</t>
  </si>
  <si>
    <t>94,1470</t>
  </si>
  <si>
    <t>92,7105</t>
  </si>
  <si>
    <t>87,3750</t>
  </si>
  <si>
    <t>82,3913</t>
  </si>
  <si>
    <t>77,5453</t>
  </si>
  <si>
    <t>75,1620</t>
  </si>
  <si>
    <t>Overhead press</t>
  </si>
  <si>
    <t>74,80</t>
  </si>
  <si>
    <t>62,0910</t>
  </si>
  <si>
    <t>Vasilyeva Veronika</t>
  </si>
  <si>
    <t>1. Vasilyeva Veronika</t>
  </si>
  <si>
    <t>Open (23.02.1986)/33</t>
  </si>
  <si>
    <t>49,10</t>
  </si>
  <si>
    <t>Seifouri Hossein</t>
  </si>
  <si>
    <t>1. Seifouri Hossein</t>
  </si>
  <si>
    <t>Open (06.09.1982)/37</t>
  </si>
  <si>
    <t>107,30</t>
  </si>
  <si>
    <t>108,5880</t>
  </si>
  <si>
    <t>78,1987</t>
  </si>
  <si>
    <t>118,9965</t>
  </si>
  <si>
    <t>Matveeva Irina</t>
  </si>
  <si>
    <t>1. Matveeva Irina</t>
  </si>
  <si>
    <t>Open (26.03.1981)/38</t>
  </si>
  <si>
    <t>Grosheva Natalya</t>
  </si>
  <si>
    <t>1. Grosheva Natalya</t>
  </si>
  <si>
    <t>Open (23.02.1980)/39</t>
  </si>
  <si>
    <t>Yakovleva Elena</t>
  </si>
  <si>
    <t>1. Yakovleva Elena</t>
  </si>
  <si>
    <t>Open (04.12.1983)/36</t>
  </si>
  <si>
    <t>Agaeva Anastasiya</t>
  </si>
  <si>
    <t>1. Agaeva Anastasiya</t>
  </si>
  <si>
    <t>Teen 18-19 (20.06.2001)/18</t>
  </si>
  <si>
    <t>64,40</t>
  </si>
  <si>
    <t>Zmievskaya Irina</t>
  </si>
  <si>
    <t>1. Zmievskaya Irina</t>
  </si>
  <si>
    <t>Open (17.11.1988)/31</t>
  </si>
  <si>
    <t>64,70</t>
  </si>
  <si>
    <t>Kaufman Viktoriya</t>
  </si>
  <si>
    <t>1. Kaufman Viktoriya</t>
  </si>
  <si>
    <t>Open (09.05.1980)/39</t>
  </si>
  <si>
    <t>101,00</t>
  </si>
  <si>
    <t>Deev Aleksandr</t>
  </si>
  <si>
    <t>1. Deev Aleksandr</t>
  </si>
  <si>
    <t>Open (22.07.1986)/33</t>
  </si>
  <si>
    <t>Sergeev Dmitriy</t>
  </si>
  <si>
    <t>1. Sergeev Dmitriy</t>
  </si>
  <si>
    <t>Open (12.02.1987)/32</t>
  </si>
  <si>
    <t>Visotskiy Maksim</t>
  </si>
  <si>
    <t>1. Visotskiy Maksim</t>
  </si>
  <si>
    <t>Open (26.05.1987)/32</t>
  </si>
  <si>
    <t>83,10</t>
  </si>
  <si>
    <t>Babenkov Andrey</t>
  </si>
  <si>
    <t>1. Babenkov Andrey</t>
  </si>
  <si>
    <t>Open (16.07.1991)/28</t>
  </si>
  <si>
    <t>91,20</t>
  </si>
  <si>
    <t>Tukayev Anton</t>
  </si>
  <si>
    <t>Fritsler Andrey</t>
  </si>
  <si>
    <t>1. Fritsler Andrey</t>
  </si>
  <si>
    <t>Open (11.04.1984)/35</t>
  </si>
  <si>
    <t>108,20</t>
  </si>
  <si>
    <t>RUS/Kaliningrad</t>
  </si>
  <si>
    <t>63,0079</t>
  </si>
  <si>
    <t>84,2860</t>
  </si>
  <si>
    <t>76,7585</t>
  </si>
  <si>
    <t>71,2900</t>
  </si>
  <si>
    <t>55,8000</t>
  </si>
  <si>
    <t>133,6500</t>
  </si>
  <si>
    <t>120,1050</t>
  </si>
  <si>
    <t>117,9800</t>
  </si>
  <si>
    <t>103,5440</t>
  </si>
  <si>
    <t>93,0320</t>
  </si>
  <si>
    <t>137,2605</t>
  </si>
  <si>
    <t>Scheslavskiy Stanislav</t>
  </si>
  <si>
    <t>1. Scheslavskiy Stanislav</t>
  </si>
  <si>
    <t>Open (15.04.1981)/38</t>
  </si>
  <si>
    <t>Guzev Pavel</t>
  </si>
  <si>
    <t>1. Guzev Pavel</t>
  </si>
  <si>
    <t>Open (29.05.1966)/53</t>
  </si>
  <si>
    <t>372,5</t>
  </si>
  <si>
    <t>Masters 50-54 (29.05.1966)/53</t>
  </si>
  <si>
    <t>204,0369</t>
  </si>
  <si>
    <t>160,6137</t>
  </si>
  <si>
    <t>130,3295</t>
  </si>
  <si>
    <t>241,5797</t>
  </si>
  <si>
    <t>Khodireva Olga</t>
  </si>
  <si>
    <t>1. Khodireva Olga</t>
  </si>
  <si>
    <t>Masters 60-64 (09.01.1957)/62</t>
  </si>
  <si>
    <t>Scherban Alina</t>
  </si>
  <si>
    <t>1. Scherban Alina</t>
  </si>
  <si>
    <t>Open (09.07.1992)/27</t>
  </si>
  <si>
    <t>Iryanov Yaroslav</t>
  </si>
  <si>
    <t>1. Iryanov Yaroslav</t>
  </si>
  <si>
    <t>Teen 13-15 (09.02.2007)/12</t>
  </si>
  <si>
    <t>74,10</t>
  </si>
  <si>
    <t>168,0</t>
  </si>
  <si>
    <t>Pershin Evgeniy</t>
  </si>
  <si>
    <t>1. Pershin Evgeniy</t>
  </si>
  <si>
    <t>Open (27.04.1989)/30</t>
  </si>
  <si>
    <t>Sellyahov Evgeniy</t>
  </si>
  <si>
    <t>1. Sellyahov Evgeniy</t>
  </si>
  <si>
    <t>Juniors 20-23 (26.08.1996)/23</t>
  </si>
  <si>
    <t>RUS/Mirnyy</t>
  </si>
  <si>
    <t>Jafarzaden Saeid</t>
  </si>
  <si>
    <t>1. Jafarzaden Saeid</t>
  </si>
  <si>
    <t>Open (06.08.1977)/42</t>
  </si>
  <si>
    <t>Iran</t>
  </si>
  <si>
    <t>Kaputin Denis</t>
  </si>
  <si>
    <t>2. Kaputin Denis</t>
  </si>
  <si>
    <t>Open (03.05.1988)/31</t>
  </si>
  <si>
    <t>Masters 40-44 (06.08.1977)/42</t>
  </si>
  <si>
    <t>2. Jadeja Karandevsinh</t>
  </si>
  <si>
    <t>94,80</t>
  </si>
  <si>
    <t>305,0</t>
  </si>
  <si>
    <t>Poryadin Ivan</t>
  </si>
  <si>
    <t>1. Poryadin Ivan</t>
  </si>
  <si>
    <t>Open (06.06.1982)/37</t>
  </si>
  <si>
    <t>97,50</t>
  </si>
  <si>
    <t>105,90</t>
  </si>
  <si>
    <t>106,40</t>
  </si>
  <si>
    <t>Kolmakov Yuriy</t>
  </si>
  <si>
    <t>1. Kolmakov Yuriy</t>
  </si>
  <si>
    <t>Open (06.05.1983)/36</t>
  </si>
  <si>
    <t>129,60</t>
  </si>
  <si>
    <t>330,0</t>
  </si>
  <si>
    <t>Demyanchuk Yuriy</t>
  </si>
  <si>
    <t>1. Demyanchuk Yuriy</t>
  </si>
  <si>
    <t>Masters 40-44 (03.10.1978)/41</t>
  </si>
  <si>
    <t>139,80</t>
  </si>
  <si>
    <t>Ivanov Evgeniy</t>
  </si>
  <si>
    <t>1. Ivanov Evgeniy</t>
  </si>
  <si>
    <t>Masters 45-49 (13.06.1973)/46</t>
  </si>
  <si>
    <t>133,70</t>
  </si>
  <si>
    <t>RUS/Yakutsk</t>
  </si>
  <si>
    <t>Golubev Egor</t>
  </si>
  <si>
    <t>2. Golubev Egor</t>
  </si>
  <si>
    <t>Masters 45-49 (23.08.1974)/45</t>
  </si>
  <si>
    <t>131,20</t>
  </si>
  <si>
    <t>178,1183</t>
  </si>
  <si>
    <t>172,9380</t>
  </si>
  <si>
    <t>207,5078</t>
  </si>
  <si>
    <t>146,6829</t>
  </si>
  <si>
    <t>109,4153</t>
  </si>
  <si>
    <t>83,0738</t>
  </si>
  <si>
    <t>181,6275</t>
  </si>
  <si>
    <t>140,1477</t>
  </si>
  <si>
    <t>125,1800</t>
  </si>
  <si>
    <t>169,0012</t>
  </si>
  <si>
    <t>167,6201</t>
  </si>
  <si>
    <t>164,7490</t>
  </si>
  <si>
    <t>164,5700</t>
  </si>
  <si>
    <t>142,8070</t>
  </si>
  <si>
    <t>220,2902</t>
  </si>
  <si>
    <t>172,3813</t>
  </si>
  <si>
    <t>171,9747</t>
  </si>
  <si>
    <t>168,0440</t>
  </si>
  <si>
    <t>153,5769</t>
  </si>
  <si>
    <t>150,2601</t>
  </si>
  <si>
    <t>136,9917</t>
  </si>
  <si>
    <t>106,5630</t>
  </si>
  <si>
    <t>59,90</t>
  </si>
  <si>
    <t>64,50</t>
  </si>
  <si>
    <t>Kuznetsov Nikita</t>
  </si>
  <si>
    <t>1. Kuznetsov Nikita</t>
  </si>
  <si>
    <t>Open (24.08.1989)/30</t>
  </si>
  <si>
    <t>RUS/Chelyabinsk</t>
  </si>
  <si>
    <t>292,5</t>
  </si>
  <si>
    <t>171,0110</t>
  </si>
  <si>
    <t>142,0945</t>
  </si>
  <si>
    <t>166,1856</t>
  </si>
  <si>
    <t>154,1410</t>
  </si>
  <si>
    <t>173,3316</t>
  </si>
  <si>
    <t>Starodubskiy Sergey</t>
  </si>
  <si>
    <t>1. Starodubskiy Sergey</t>
  </si>
  <si>
    <t>Masters 40-44 (20.12.1977)/41</t>
  </si>
  <si>
    <t>113,00</t>
  </si>
  <si>
    <t>RUS/Taganrog</t>
  </si>
  <si>
    <t>Funtik Peter</t>
  </si>
  <si>
    <t>2. Funtik Peter</t>
  </si>
  <si>
    <t>Masters 40-44 (31.10.1978)/41</t>
  </si>
  <si>
    <t>118,30</t>
  </si>
  <si>
    <t>144,6244</t>
  </si>
  <si>
    <t>152,3166</t>
  </si>
  <si>
    <t>145,1390</t>
  </si>
  <si>
    <t>Gonyan Karmela</t>
  </si>
  <si>
    <t>1. Gonyan Karmela</t>
  </si>
  <si>
    <t>Juniors 20-23 (22.10.1997)/22</t>
  </si>
  <si>
    <t>43,10</t>
  </si>
  <si>
    <t>Mendaleva Yuliya</t>
  </si>
  <si>
    <t>1. Mendaleva Yuliya</t>
  </si>
  <si>
    <t>Open (15.04.1992)/27</t>
  </si>
  <si>
    <t>50,50</t>
  </si>
  <si>
    <t>Dolgopolova Anastasiya</t>
  </si>
  <si>
    <t>2. Dolgopolova Anastasiya</t>
  </si>
  <si>
    <t>Open (31.12.1981)/37</t>
  </si>
  <si>
    <t>51,80</t>
  </si>
  <si>
    <t>53,90</t>
  </si>
  <si>
    <t>Milyutina Valeriya</t>
  </si>
  <si>
    <t>2. Milyutina Valeriya</t>
  </si>
  <si>
    <t>Open (29.11.1981)/38</t>
  </si>
  <si>
    <t>56,00</t>
  </si>
  <si>
    <t>Koroleva Anna</t>
  </si>
  <si>
    <t>3. Koroleva Anna</t>
  </si>
  <si>
    <t>Open (01.03.1984)/35</t>
  </si>
  <si>
    <t>54,10</t>
  </si>
  <si>
    <t>Zvezdilina Kseniya</t>
  </si>
  <si>
    <t>4. Zvezdilina Kseniya</t>
  </si>
  <si>
    <t>Open (06.02.1991)/28</t>
  </si>
  <si>
    <t>54,90</t>
  </si>
  <si>
    <t>Lisichenkova Diana</t>
  </si>
  <si>
    <t>1. Lisichenkova Diana</t>
  </si>
  <si>
    <t>Teen 18-19 (03.01.2000)/19</t>
  </si>
  <si>
    <t>56,80</t>
  </si>
  <si>
    <t>Solovyeva Ekaterina</t>
  </si>
  <si>
    <t>1. Solovyeva Ekaterina</t>
  </si>
  <si>
    <t>Open (07.08.1990)/29</t>
  </si>
  <si>
    <t>Filimonov O.A.</t>
  </si>
  <si>
    <t>Giginashvili Marina</t>
  </si>
  <si>
    <t>2. Giginashvili Marina</t>
  </si>
  <si>
    <t>Open (12.12.1988)/31</t>
  </si>
  <si>
    <t>57,90</t>
  </si>
  <si>
    <t>Mukhammadieva Shokhista</t>
  </si>
  <si>
    <t>1. Mukhammadieva Shokhista</t>
  </si>
  <si>
    <t>Open (11.01.1984)/35</t>
  </si>
  <si>
    <t>63,90</t>
  </si>
  <si>
    <t>Kolesnikova Tatyana</t>
  </si>
  <si>
    <t>1. Kolesnikova Tatyana</t>
  </si>
  <si>
    <t>Masters 40-44 (17.03.1978)/41</t>
  </si>
  <si>
    <t>62,70</t>
  </si>
  <si>
    <t>Chebotarev Aleksandr</t>
  </si>
  <si>
    <t>1. Chebotarev Aleksandr</t>
  </si>
  <si>
    <t>Open (17.12.1987)/31</t>
  </si>
  <si>
    <t>58,70</t>
  </si>
  <si>
    <t>RUS/Balashikha</t>
  </si>
  <si>
    <t>Gusev Sergey</t>
  </si>
  <si>
    <t>1. Gusev Sergey</t>
  </si>
  <si>
    <t>Masters 40-44 (19.09.1976)/43</t>
  </si>
  <si>
    <t>66,60</t>
  </si>
  <si>
    <t>70,40</t>
  </si>
  <si>
    <t>Romanov Aleksey</t>
  </si>
  <si>
    <t>1. Romanov Aleksey</t>
  </si>
  <si>
    <t>Open (05.02.1986)/33</t>
  </si>
  <si>
    <t>74,60</t>
  </si>
  <si>
    <t>2. Patil Varad</t>
  </si>
  <si>
    <t>Lukyanov Konstantin</t>
  </si>
  <si>
    <t>1. Lukyanov Konstantin</t>
  </si>
  <si>
    <t>Masters 40-44 (05.06.1975)/44</t>
  </si>
  <si>
    <t>1. Simon Rohan</t>
  </si>
  <si>
    <t>82,20</t>
  </si>
  <si>
    <t>Malichev Ivan</t>
  </si>
  <si>
    <t>2. Malichev Ivan</t>
  </si>
  <si>
    <t>Teen 18-19 (15.06.2000)/19</t>
  </si>
  <si>
    <t>76,80</t>
  </si>
  <si>
    <t>Rumasov Andrey</t>
  </si>
  <si>
    <t>1. Rumasov Andrey</t>
  </si>
  <si>
    <t>Open (10.03.1991)/28</t>
  </si>
  <si>
    <t>81,70</t>
  </si>
  <si>
    <t>Nersisyan Armen</t>
  </si>
  <si>
    <t>2. Nersisyan Armen</t>
  </si>
  <si>
    <t>Open (02.06.1994)/25</t>
  </si>
  <si>
    <t>81,80</t>
  </si>
  <si>
    <t>RUS/Shcherbinka</t>
  </si>
  <si>
    <t>3. Simon Rohan</t>
  </si>
  <si>
    <t>Savvin Sergey</t>
  </si>
  <si>
    <t>2. Savvin Sergey</t>
  </si>
  <si>
    <t>Masters 45-49 (05.04.1972)/47</t>
  </si>
  <si>
    <t>RUS/Elets</t>
  </si>
  <si>
    <t>Skokin Victor</t>
  </si>
  <si>
    <t>1. Skokin Victor</t>
  </si>
  <si>
    <t>Masters 60-64 (20.06.1957)/62</t>
  </si>
  <si>
    <t>76,20</t>
  </si>
  <si>
    <t>RUS/Voskresensk</t>
  </si>
  <si>
    <t>Kokurkin Aleksandr</t>
  </si>
  <si>
    <t>1. Kokurkin Aleksandr</t>
  </si>
  <si>
    <t>Teen 16-17 (15.03.2003)/16</t>
  </si>
  <si>
    <t>86,00</t>
  </si>
  <si>
    <t>84,20</t>
  </si>
  <si>
    <t>Kosenkov Maksim</t>
  </si>
  <si>
    <t>2. Kosenkov Maksim</t>
  </si>
  <si>
    <t>Open (18.05.1993)/26</t>
  </si>
  <si>
    <t>89,20</t>
  </si>
  <si>
    <t>RUS/Karabanovo</t>
  </si>
  <si>
    <t>Safonov Artem</t>
  </si>
  <si>
    <t>3. Safonov Artem</t>
  </si>
  <si>
    <t>Open (15.08.1995)/24</t>
  </si>
  <si>
    <t>Sichevoy Dmitriy</t>
  </si>
  <si>
    <t>4. Sichevoy Dmitriy</t>
  </si>
  <si>
    <t>Open (02.03.1988)/31</t>
  </si>
  <si>
    <t>Kobzev Aleksey</t>
  </si>
  <si>
    <t>1. Kobzev Aleksey</t>
  </si>
  <si>
    <t>Masters 40-44 (25.03.1977)/42</t>
  </si>
  <si>
    <t>Snezhkin Vladimir</t>
  </si>
  <si>
    <t>2. Snezhkin Vladimir</t>
  </si>
  <si>
    <t>Masters 40-44 (23.05.1979)/40</t>
  </si>
  <si>
    <t>89,00</t>
  </si>
  <si>
    <t>Sevortyan Andrey</t>
  </si>
  <si>
    <t>1. Sevortyan Andrey</t>
  </si>
  <si>
    <t>Teen 16-17 (18.03.2002)/17</t>
  </si>
  <si>
    <t>2. Retyunskikh Aleksandr</t>
  </si>
  <si>
    <t>Klishin Yuriy</t>
  </si>
  <si>
    <t>3. Klishin Yuriy</t>
  </si>
  <si>
    <t>Open (03.11.1994)/25</t>
  </si>
  <si>
    <t>RUS/Reutov</t>
  </si>
  <si>
    <t>4. Barla Mitilesh</t>
  </si>
  <si>
    <t>Zmunchile Mikhail</t>
  </si>
  <si>
    <t>5. Zmunchile Mikhail</t>
  </si>
  <si>
    <t>Open (25.05.1983)/36</t>
  </si>
  <si>
    <t>Sitnikov Anton</t>
  </si>
  <si>
    <t>6. Sitnikov Anton</t>
  </si>
  <si>
    <t>Open (08.04.1985)/34</t>
  </si>
  <si>
    <t>90,60</t>
  </si>
  <si>
    <t>Kazakov Dmitriy</t>
  </si>
  <si>
    <t>1. Kazakov Dmitriy</t>
  </si>
  <si>
    <t>Masters 40-44 (19.11.1976)/43</t>
  </si>
  <si>
    <t>98,70</t>
  </si>
  <si>
    <t>Pigrov Sergey</t>
  </si>
  <si>
    <t>2. Pigrov Sergey</t>
  </si>
  <si>
    <t>Masters 40-44 (03.06.1978)/41</t>
  </si>
  <si>
    <t>Lileev Aleksey</t>
  </si>
  <si>
    <t>1. Lileev Aleksey</t>
  </si>
  <si>
    <t>Masters 45-49 (03.09.1972)/47</t>
  </si>
  <si>
    <t>99,30</t>
  </si>
  <si>
    <t>Pletnev Andrey</t>
  </si>
  <si>
    <t>1. Pletnev Andrey</t>
  </si>
  <si>
    <t>Open (09.08.1987)/32</t>
  </si>
  <si>
    <t>RUS/Khotkovo</t>
  </si>
  <si>
    <t>Talismanov Aleksandr</t>
  </si>
  <si>
    <t>2. Talismanov Aleksandr</t>
  </si>
  <si>
    <t>Open (10.01.1990)/29</t>
  </si>
  <si>
    <t>106,10</t>
  </si>
  <si>
    <t>Molotkov Sergey</t>
  </si>
  <si>
    <t>1. Molotkov Sergey</t>
  </si>
  <si>
    <t>Open (18.06.1990)/29</t>
  </si>
  <si>
    <t>114,30</t>
  </si>
  <si>
    <t>2. Naroditskiy Ilya</t>
  </si>
  <si>
    <t>Kokotkin Aleksandr</t>
  </si>
  <si>
    <t>1. Kokotkin Aleksandr</t>
  </si>
  <si>
    <t>Masters 45-49 (05.02.1974)/45</t>
  </si>
  <si>
    <t>92,8890</t>
  </si>
  <si>
    <t>114,9030</t>
  </si>
  <si>
    <t>177,6060</t>
  </si>
  <si>
    <t>151,7760</t>
  </si>
  <si>
    <t>150,3600</t>
  </si>
  <si>
    <t>136,0080</t>
  </si>
  <si>
    <t>133,0973</t>
  </si>
  <si>
    <t>122,2100</t>
  </si>
  <si>
    <t>96,5880</t>
  </si>
  <si>
    <t>88,9280</t>
  </si>
  <si>
    <t>84,5280</t>
  </si>
  <si>
    <t>82,4895</t>
  </si>
  <si>
    <t>81,3040</t>
  </si>
  <si>
    <t>74,2420</t>
  </si>
  <si>
    <t>129,0213</t>
  </si>
  <si>
    <t>103,5263</t>
  </si>
  <si>
    <t>91,6848</t>
  </si>
  <si>
    <t>142,1530</t>
  </si>
  <si>
    <t>126,5075</t>
  </si>
  <si>
    <t>122,4795</t>
  </si>
  <si>
    <t>114,7470</t>
  </si>
  <si>
    <t>111,1595</t>
  </si>
  <si>
    <t>109,9719</t>
  </si>
  <si>
    <t>108,1710</t>
  </si>
  <si>
    <t>80,6650</t>
  </si>
  <si>
    <t>162,1403</t>
  </si>
  <si>
    <t>136,0980</t>
  </si>
  <si>
    <t>131,4112</t>
  </si>
  <si>
    <t>130,5452</t>
  </si>
  <si>
    <t>124,8830</t>
  </si>
  <si>
    <t>181,6360</t>
  </si>
  <si>
    <t>171,0844</t>
  </si>
  <si>
    <t>167,3007</t>
  </si>
  <si>
    <t>151,2030</t>
  </si>
  <si>
    <t>147,4655</t>
  </si>
  <si>
    <t>144,8200</t>
  </si>
  <si>
    <t>141,5250</t>
  </si>
  <si>
    <t>141,4270</t>
  </si>
  <si>
    <t>140,5532</t>
  </si>
  <si>
    <t>136,8379</t>
  </si>
  <si>
    <t>136,1520</t>
  </si>
  <si>
    <t>134,6880</t>
  </si>
  <si>
    <t>129,5470</t>
  </si>
  <si>
    <t>128,0265</t>
  </si>
  <si>
    <t>127,6425</t>
  </si>
  <si>
    <t>125,0842</t>
  </si>
  <si>
    <t>122,2598</t>
  </si>
  <si>
    <t>215,6714</t>
  </si>
  <si>
    <t>159,7078</t>
  </si>
  <si>
    <t>149,6048</t>
  </si>
  <si>
    <t>137,3188</t>
  </si>
  <si>
    <t>132,8254</t>
  </si>
  <si>
    <t>132,7509</t>
  </si>
  <si>
    <t>130,9035</t>
  </si>
  <si>
    <t>129,0296</t>
  </si>
  <si>
    <t>122,3873</t>
  </si>
  <si>
    <t>110,8260</t>
  </si>
  <si>
    <t>1. Dhillon Harneet</t>
  </si>
  <si>
    <t>52,00</t>
  </si>
  <si>
    <t>Syed Adnan</t>
  </si>
  <si>
    <t>1. Syed Adnan</t>
  </si>
  <si>
    <t>Juniors 20-23 (04.11.1998)/21</t>
  </si>
  <si>
    <t>135,6810</t>
  </si>
  <si>
    <t>86,0370</t>
  </si>
  <si>
    <t>129,2250</t>
  </si>
  <si>
    <t>Umerenkova Yulia</t>
  </si>
  <si>
    <t>1. Umerenkova Yulia</t>
  </si>
  <si>
    <t>Open (10.12.1980)/39</t>
  </si>
  <si>
    <t>190,5</t>
  </si>
  <si>
    <t>72,50</t>
  </si>
  <si>
    <t>Umerenkov Igor</t>
  </si>
  <si>
    <t>1. Umerenkov Igor</t>
  </si>
  <si>
    <t>Open (13.09.1980)/39</t>
  </si>
  <si>
    <t>171,4300</t>
  </si>
  <si>
    <t>157,5000</t>
  </si>
  <si>
    <t>247,8581</t>
  </si>
  <si>
    <t>Biceps curl</t>
  </si>
  <si>
    <t>Kalinin Sergey</t>
  </si>
  <si>
    <t>1. Kalinin Sergey</t>
  </si>
  <si>
    <t>Masters 40-44 (19.11.1975)/44</t>
  </si>
  <si>
    <t>Kuliev Rafael</t>
  </si>
  <si>
    <t>1. Kuliev Rafael</t>
  </si>
  <si>
    <t>Open (13.09.1993)/26</t>
  </si>
  <si>
    <t>Lukyanov Sergey</t>
  </si>
  <si>
    <t>1. Lukyanov Sergey</t>
  </si>
  <si>
    <t>Masters 60-64 (25.10.1955)/64</t>
  </si>
  <si>
    <t>121,00</t>
  </si>
  <si>
    <t>41,7040</t>
  </si>
  <si>
    <t>48,3954</t>
  </si>
  <si>
    <t>39,9346</t>
  </si>
  <si>
    <t>36,0462</t>
  </si>
  <si>
    <t>31,8942</t>
  </si>
  <si>
    <t>Eldzharov Ramil</t>
  </si>
  <si>
    <t>2. Eldzharov Ramil</t>
  </si>
  <si>
    <t>Open (07.12.1990)/29</t>
  </si>
  <si>
    <t>94,70</t>
  </si>
  <si>
    <t>RUS/Vladikavkaz</t>
  </si>
  <si>
    <t>42,9816</t>
  </si>
  <si>
    <t>40,2199</t>
  </si>
  <si>
    <t>36,3531</t>
  </si>
  <si>
    <t>37,9163</t>
  </si>
  <si>
    <t>37,6727</t>
  </si>
  <si>
    <t>33,9903</t>
  </si>
  <si>
    <t>WORLD CUP
WPC raw powerlifting
Moscow December 13 - 15, 2019</t>
  </si>
  <si>
    <t>WORLD CUP
WPC Classic RAW powerliftig
Moscow December 13 - 15, 2019</t>
  </si>
  <si>
    <t>WORLD CUP
WPC single ply powerlifting
Moscow December 13 - 15, 2019</t>
  </si>
  <si>
    <t>WORLD CUP
WPC multi ply powerlifting
Moscow December 13 - 15, 2019</t>
  </si>
  <si>
    <t>WORLD CUP
WPC raw benchpress
Moscow December 13 - 15, 2019</t>
  </si>
  <si>
    <t>WORLD CUP
WPC single ply benchpress
Moscow December 13 - 15, 2019</t>
  </si>
  <si>
    <t>WORLD CUP
WPC multi ply benchpress
Moscow December 13 - 15, 2019</t>
  </si>
  <si>
    <t>WORLD CUP
WPC st. soft eq. benchpress
Moscow December 13 - 15, 2019</t>
  </si>
  <si>
    <t>WORLD CUP
WPC MP soft eq. benchpress
Moscow December 13 - 15, 2019</t>
  </si>
  <si>
    <t>WORLD CUP
AWPC raw powerlifting
Moscow December 13 - 15, 2019</t>
  </si>
  <si>
    <t>WORLD CUP
AWPC Classic RAW powerliftig
Moscow December 13 - 15, 2019</t>
  </si>
  <si>
    <t>WORLD CUP
AWPC single ply powerlifting
Moscow December 13 - 15, 2019</t>
  </si>
  <si>
    <t>WORLD CUP
AWPC multi ply powerlifting
Moscow December 13 - 15, 2019</t>
  </si>
  <si>
    <t>WORLD CUP
AWPC raw benchpress
Moscow December 13 - 15, 2019</t>
  </si>
  <si>
    <t>WORLD CUP
AWPC OVERHEAD BENCH
Moscow December 13 - 15, 2019</t>
  </si>
  <si>
    <t>WORLD CUP
AWPC single-ply benchpress
Moscow December 13 - 15, 2019</t>
  </si>
  <si>
    <t>WORLD CUP
AWPC st. soft eq. benchpress
Moscow December 13 - 15, 2019</t>
  </si>
  <si>
    <t>WORLD CUP
AWPC MP soft eq. benchpress
Moscow December 13 - 15, 2019</t>
  </si>
  <si>
    <t>WORLD CUP
WPC raw deadlift
Moscow December 13 - 15, 2019</t>
  </si>
  <si>
    <t>WORLD CUP
WPC single ply deadlift
Moscow December 13 - 15, 2019</t>
  </si>
  <si>
    <t>WORLD CUP
WPC multy ply deadlift
Moscow December 13 - 15, 2019</t>
  </si>
  <si>
    <t>WORLD CUP
AWPC raw deadlift
Moscow December 13 - 15, 2019</t>
  </si>
  <si>
    <t>WORLD CUP
AWPC single ply deadlift
Moscow December 13 - 15, 2019</t>
  </si>
  <si>
    <t>WORLD CUP
AWPC multy ply deadlift
Moscow December 13 - 15, 2019</t>
  </si>
  <si>
    <t>WORLD CUP
AWPC Strict Curl
Moscow December 13 - 15, 2019</t>
  </si>
  <si>
    <t>WORLD CUP
WPC Strict Curl
Moscow December 13 - 15, 2019</t>
  </si>
  <si>
    <t>1479,8280</t>
  </si>
  <si>
    <t>1680,0</t>
  </si>
  <si>
    <t>Hisameeva Roza</t>
  </si>
  <si>
    <t>48,0</t>
  </si>
  <si>
    <t>35,0w</t>
  </si>
  <si>
    <t>Open (21.04.1978)/41</t>
  </si>
  <si>
    <t>1. Hisameeva Roza</t>
  </si>
  <si>
    <t>Rpt</t>
  </si>
  <si>
    <t>Weight</t>
  </si>
  <si>
    <t>Multi.rpt. benchpress</t>
  </si>
  <si>
    <t>WORLD CUP
Multy-repeat BP 1/2 bw. AWPC
Moscow December 13 - 15, 2019</t>
  </si>
  <si>
    <t>6302,7043</t>
  </si>
  <si>
    <t>5500,0</t>
  </si>
  <si>
    <t>Masters 40-49</t>
  </si>
  <si>
    <t>Karnaushkina Irina</t>
  </si>
  <si>
    <t>55,00</t>
  </si>
  <si>
    <t>Masters 40-49 (30.06.1972)/47</t>
  </si>
  <si>
    <t>1. Karnaushkina Irina</t>
  </si>
  <si>
    <t>WORLD CUP
Multy-repeat BP 1/2 bw. WPC
Moscow December 13 - 15, 2019</t>
  </si>
  <si>
    <t>1076,2361</t>
  </si>
  <si>
    <t>1567,5</t>
  </si>
  <si>
    <t>1394,7808</t>
  </si>
  <si>
    <t>2185,0</t>
  </si>
  <si>
    <t>Belov Sergey</t>
  </si>
  <si>
    <t>863,1495</t>
  </si>
  <si>
    <t>1147,5</t>
  </si>
  <si>
    <t>Melnikov Aleksey</t>
  </si>
  <si>
    <t>1340,1272</t>
  </si>
  <si>
    <t>2365,0</t>
  </si>
  <si>
    <t>1363,4000</t>
  </si>
  <si>
    <t>2125,0</t>
  </si>
  <si>
    <t>1578,0870</t>
  </si>
  <si>
    <t>2590,0</t>
  </si>
  <si>
    <t>Yaroshetskiy Vladimir</t>
  </si>
  <si>
    <t>1636,2079</t>
  </si>
  <si>
    <t>2240,0</t>
  </si>
  <si>
    <t>1656,5640</t>
  </si>
  <si>
    <t>2870,0</t>
  </si>
  <si>
    <t>Chernov Eduard</t>
  </si>
  <si>
    <t>2496,6971</t>
  </si>
  <si>
    <t>3430,0</t>
  </si>
  <si>
    <t>Strelnikov Valeriy</t>
  </si>
  <si>
    <t>22,0</t>
  </si>
  <si>
    <t>107,5w</t>
  </si>
  <si>
    <t>2. Seifouri Hossein</t>
  </si>
  <si>
    <t>28,0</t>
  </si>
  <si>
    <t>102,5w</t>
  </si>
  <si>
    <t>101,80</t>
  </si>
  <si>
    <t>Open (19.06.1982)/37</t>
  </si>
  <si>
    <t>1. Chernov Eduard</t>
  </si>
  <si>
    <t>23,0</t>
  </si>
  <si>
    <t>94,10</t>
  </si>
  <si>
    <t>Masters 40-49 (15.05.1973)/46</t>
  </si>
  <si>
    <t>1. Belov Sergey</t>
  </si>
  <si>
    <t>90,70</t>
  </si>
  <si>
    <t>1. Yaroshetskiy Vladimir</t>
  </si>
  <si>
    <t>19,0</t>
  </si>
  <si>
    <t>82,5w</t>
  </si>
  <si>
    <t>Masters 40-49 (27.05.1974)/45</t>
  </si>
  <si>
    <t>32,0</t>
  </si>
  <si>
    <t>2. Gozdinskiy Maksim</t>
  </si>
  <si>
    <t>49,0</t>
  </si>
  <si>
    <t>69,80</t>
  </si>
  <si>
    <t>Open (25.03.1981)/38</t>
  </si>
  <si>
    <t>1. Strelnikov Valeriy</t>
  </si>
  <si>
    <t>17,0</t>
  </si>
  <si>
    <t>67,5w</t>
  </si>
  <si>
    <t>1. Melnikov Aleksey</t>
  </si>
  <si>
    <t>WORLD CUP
Multy-repeat BP 1 bw. AWPC
Moscow December 13 - 15, 2019</t>
  </si>
  <si>
    <t>1275,7141</t>
  </si>
  <si>
    <t>2145,0</t>
  </si>
  <si>
    <t>Kananian Abdolmajid</t>
  </si>
  <si>
    <t>1469,2365</t>
  </si>
  <si>
    <t>1514,5266</t>
  </si>
  <si>
    <t>2625,0</t>
  </si>
  <si>
    <t>1869,4649</t>
  </si>
  <si>
    <t>2475,0</t>
  </si>
  <si>
    <t>2084,1314</t>
  </si>
  <si>
    <t>3422,5</t>
  </si>
  <si>
    <t>Khaliullin Andrey</t>
  </si>
  <si>
    <t>2148,8888</t>
  </si>
  <si>
    <t>3325,0</t>
  </si>
  <si>
    <t>Lavrov Vladimir</t>
  </si>
  <si>
    <t>725,5728</t>
  </si>
  <si>
    <t>1015,0</t>
  </si>
  <si>
    <t>Pindak Semen</t>
  </si>
  <si>
    <t>1130,3100</t>
  </si>
  <si>
    <t>1900,0</t>
  </si>
  <si>
    <t>Dyagilev Svyatoslav</t>
  </si>
  <si>
    <t>1352,0162</t>
  </si>
  <si>
    <t>1885,0</t>
  </si>
  <si>
    <t>Vashurkin Aleksandr</t>
  </si>
  <si>
    <t>1423,1250</t>
  </si>
  <si>
    <t>2530,0</t>
  </si>
  <si>
    <t>2084,2763</t>
  </si>
  <si>
    <t>2264,2300</t>
  </si>
  <si>
    <t>3800,0</t>
  </si>
  <si>
    <t>Masters 40-49 (21.09.1978)/41</t>
  </si>
  <si>
    <t>110,0w</t>
  </si>
  <si>
    <t>1. Mantserov Aleksandr</t>
  </si>
  <si>
    <t>97,5w</t>
  </si>
  <si>
    <t>Masters 40-49 (23.09.1978)/41</t>
  </si>
  <si>
    <t>2. Kananian Abdolmajid</t>
  </si>
  <si>
    <t>37,0</t>
  </si>
  <si>
    <t>RUS/Bryansk</t>
  </si>
  <si>
    <t>90,80</t>
  </si>
  <si>
    <t>Masters 40-49 (06.05.1979)/40</t>
  </si>
  <si>
    <t>1. Khaliullin Andrey</t>
  </si>
  <si>
    <t>Sass I.A.</t>
  </si>
  <si>
    <t>20,0</t>
  </si>
  <si>
    <t>Open (14.07.1991)/28</t>
  </si>
  <si>
    <t>2. Dyagilev Svyatoslav</t>
  </si>
  <si>
    <t>95,0w</t>
  </si>
  <si>
    <t>1. Eldzharov Ramil</t>
  </si>
  <si>
    <t>38,0</t>
  </si>
  <si>
    <t>87,5w</t>
  </si>
  <si>
    <t>86,30</t>
  </si>
  <si>
    <t>Masters 40-49 (12.11.1976)/43</t>
  </si>
  <si>
    <t>1. Lavrov Vladimir</t>
  </si>
  <si>
    <t>Open (12.11.1976)/43</t>
  </si>
  <si>
    <t>26,0</t>
  </si>
  <si>
    <t>Masters 40-49 (28.11.1974)/45</t>
  </si>
  <si>
    <t>33,0</t>
  </si>
  <si>
    <t>75,0w</t>
  </si>
  <si>
    <t>Masters 40-49 (08.01.1971)/48</t>
  </si>
  <si>
    <t>14,0</t>
  </si>
  <si>
    <t>Open (18.08.1984)/35</t>
  </si>
  <si>
    <t>2. Pindak Semen</t>
  </si>
  <si>
    <t>72,5w</t>
  </si>
  <si>
    <t>71,10</t>
  </si>
  <si>
    <t>Open (03.09.1986)/33</t>
  </si>
  <si>
    <t>1. Vashurkin Aleksandr</t>
  </si>
  <si>
    <t>WORLD CUP
Multy-repeat BP 1 bw. WPC
Moscow December 13 - 15, 2019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</si>
</sst>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Normal="100" workbookViewId="0">
      <selection sqref="A1:K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42578125" style="4" bestFit="1" customWidth="1"/>
    <col min="7" max="7" width="6.85546875" style="5" bestFit="1" customWidth="1"/>
    <col min="8" max="8" width="4.5703125" style="53" bestFit="1" customWidth="1"/>
    <col min="9" max="9" width="6.5703125" style="4" bestFit="1" customWidth="1"/>
    <col min="10" max="10" width="9.5703125" style="5" bestFit="1" customWidth="1"/>
    <col min="11" max="11" width="8.7109375" style="4" bestFit="1" customWidth="1"/>
    <col min="12" max="16384" width="9.140625" style="3"/>
  </cols>
  <sheetData>
    <row r="1" spans="1:11" s="2" customFormat="1" ht="29.1" customHeight="1">
      <c r="A1" s="33" t="s">
        <v>1849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1726</v>
      </c>
      <c r="H3" s="43"/>
      <c r="I3" s="48" t="s">
        <v>499</v>
      </c>
      <c r="J3" s="43" t="s">
        <v>6</v>
      </c>
      <c r="K3" s="46" t="s">
        <v>5</v>
      </c>
    </row>
    <row r="4" spans="1:11" s="1" customFormat="1" ht="23.25" customHeight="1" thickBot="1">
      <c r="A4" s="40"/>
      <c r="B4" s="42"/>
      <c r="C4" s="42"/>
      <c r="D4" s="42"/>
      <c r="E4" s="42"/>
      <c r="F4" s="45"/>
      <c r="G4" s="31" t="s">
        <v>1725</v>
      </c>
      <c r="H4" s="55" t="s">
        <v>1724</v>
      </c>
      <c r="I4" s="49"/>
      <c r="J4" s="42"/>
      <c r="K4" s="50"/>
    </row>
    <row r="5" spans="1:11" s="5" customFormat="1" ht="15">
      <c r="A5" s="51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4"/>
    </row>
    <row r="6" spans="1:11" s="5" customFormat="1">
      <c r="A6" s="22" t="s">
        <v>1848</v>
      </c>
      <c r="B6" s="23" t="s">
        <v>1847</v>
      </c>
      <c r="C6" s="23" t="s">
        <v>1846</v>
      </c>
      <c r="D6" s="23" t="str">
        <f>"0,7172"</f>
        <v>0,7172</v>
      </c>
      <c r="E6" s="22" t="s">
        <v>18</v>
      </c>
      <c r="F6" s="22" t="s">
        <v>1160</v>
      </c>
      <c r="G6" s="23" t="s">
        <v>1845</v>
      </c>
      <c r="H6" s="57" t="s">
        <v>1837</v>
      </c>
      <c r="I6" s="22" t="str">
        <f>"1885,0"</f>
        <v>1885,0</v>
      </c>
      <c r="J6" s="23" t="str">
        <f>"1352,0162"</f>
        <v>1352,0162</v>
      </c>
      <c r="K6" s="22"/>
    </row>
    <row r="7" spans="1:11" s="5" customFormat="1">
      <c r="A7" s="25" t="s">
        <v>1844</v>
      </c>
      <c r="B7" s="26" t="s">
        <v>1843</v>
      </c>
      <c r="C7" s="26" t="s">
        <v>977</v>
      </c>
      <c r="D7" s="26" t="str">
        <f>"0,7149"</f>
        <v>0,7149</v>
      </c>
      <c r="E7" s="25" t="s">
        <v>18</v>
      </c>
      <c r="F7" s="25" t="s">
        <v>95</v>
      </c>
      <c r="G7" s="26" t="s">
        <v>337</v>
      </c>
      <c r="H7" s="58" t="s">
        <v>1842</v>
      </c>
      <c r="I7" s="25" t="str">
        <f>"1015,0"</f>
        <v>1015,0</v>
      </c>
      <c r="J7" s="26" t="str">
        <f>"725,5728"</f>
        <v>725,5728</v>
      </c>
      <c r="K7" s="25"/>
    </row>
    <row r="8" spans="1:11">
      <c r="A8" s="29" t="s">
        <v>343</v>
      </c>
      <c r="B8" s="28" t="s">
        <v>1841</v>
      </c>
      <c r="C8" s="28" t="s">
        <v>58</v>
      </c>
      <c r="D8" s="28" t="str">
        <f>"0,6885"</f>
        <v>0,6885</v>
      </c>
      <c r="E8" s="29" t="s">
        <v>18</v>
      </c>
      <c r="F8" s="29" t="s">
        <v>345</v>
      </c>
      <c r="G8" s="28" t="s">
        <v>1840</v>
      </c>
      <c r="H8" s="56" t="s">
        <v>1839</v>
      </c>
      <c r="I8" s="29" t="str">
        <f>"2475,0"</f>
        <v>2475,0</v>
      </c>
      <c r="J8" s="28" t="str">
        <f>"1869,4649"</f>
        <v>1869,4649</v>
      </c>
      <c r="K8" s="29"/>
    </row>
    <row r="10" spans="1:11" ht="15">
      <c r="A10" s="47" t="s">
        <v>305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1">
      <c r="A11" s="9" t="s">
        <v>347</v>
      </c>
      <c r="B11" s="10" t="s">
        <v>1838</v>
      </c>
      <c r="C11" s="10" t="s">
        <v>349</v>
      </c>
      <c r="D11" s="10" t="str">
        <f>"0,6492"</f>
        <v>0,6492</v>
      </c>
      <c r="E11" s="9" t="s">
        <v>18</v>
      </c>
      <c r="F11" s="9" t="s">
        <v>350</v>
      </c>
      <c r="G11" s="10" t="s">
        <v>1774</v>
      </c>
      <c r="H11" s="54" t="s">
        <v>1837</v>
      </c>
      <c r="I11" s="9" t="str">
        <f>"2145,0"</f>
        <v>2145,0</v>
      </c>
      <c r="J11" s="10" t="str">
        <f>"1469,2365"</f>
        <v>1469,2365</v>
      </c>
      <c r="K11" s="9"/>
    </row>
    <row r="13" spans="1:11" ht="15">
      <c r="A13" s="47" t="s">
        <v>144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1">
      <c r="A14" s="22" t="s">
        <v>1835</v>
      </c>
      <c r="B14" s="23" t="s">
        <v>1836</v>
      </c>
      <c r="C14" s="23" t="s">
        <v>1833</v>
      </c>
      <c r="D14" s="23" t="str">
        <f>"0,6269"</f>
        <v>0,6269</v>
      </c>
      <c r="E14" s="22" t="s">
        <v>18</v>
      </c>
      <c r="F14" s="22" t="s">
        <v>95</v>
      </c>
      <c r="G14" s="23" t="s">
        <v>1832</v>
      </c>
      <c r="H14" s="57" t="s">
        <v>1831</v>
      </c>
      <c r="I14" s="22" t="str">
        <f>"3325,0"</f>
        <v>3325,0</v>
      </c>
      <c r="J14" s="23" t="str">
        <f>"2084,2763"</f>
        <v>2084,2763</v>
      </c>
      <c r="K14" s="22"/>
    </row>
    <row r="15" spans="1:11">
      <c r="A15" s="29" t="s">
        <v>1835</v>
      </c>
      <c r="B15" s="28" t="s">
        <v>1834</v>
      </c>
      <c r="C15" s="28" t="s">
        <v>1833</v>
      </c>
      <c r="D15" s="28" t="str">
        <f>"0,6269"</f>
        <v>0,6269</v>
      </c>
      <c r="E15" s="29" t="s">
        <v>18</v>
      </c>
      <c r="F15" s="29" t="s">
        <v>95</v>
      </c>
      <c r="G15" s="28" t="s">
        <v>1832</v>
      </c>
      <c r="H15" s="56" t="s">
        <v>1831</v>
      </c>
      <c r="I15" s="29" t="str">
        <f>"3325,0"</f>
        <v>3325,0</v>
      </c>
      <c r="J15" s="28" t="str">
        <f>"2148,8888"</f>
        <v>2148,8888</v>
      </c>
      <c r="K15" s="29"/>
    </row>
    <row r="17" spans="1:11" ht="15">
      <c r="A17" s="47" t="s">
        <v>161</v>
      </c>
      <c r="B17" s="47"/>
      <c r="C17" s="47"/>
      <c r="D17" s="47"/>
      <c r="E17" s="47"/>
      <c r="F17" s="47"/>
      <c r="G17" s="47"/>
      <c r="H17" s="47"/>
      <c r="I17" s="47"/>
      <c r="J17" s="47"/>
    </row>
    <row r="18" spans="1:11">
      <c r="A18" s="22" t="s">
        <v>1830</v>
      </c>
      <c r="B18" s="23" t="s">
        <v>1682</v>
      </c>
      <c r="C18" s="23" t="s">
        <v>1683</v>
      </c>
      <c r="D18" s="23" t="str">
        <f>"0,5958"</f>
        <v>0,5958</v>
      </c>
      <c r="E18" s="22" t="s">
        <v>18</v>
      </c>
      <c r="F18" s="22" t="s">
        <v>1684</v>
      </c>
      <c r="G18" s="23" t="s">
        <v>1829</v>
      </c>
      <c r="H18" s="57" t="s">
        <v>23</v>
      </c>
      <c r="I18" s="22" t="str">
        <f>"3800,0"</f>
        <v>3800,0</v>
      </c>
      <c r="J18" s="23" t="str">
        <f>"2264,2300"</f>
        <v>2264,2300</v>
      </c>
      <c r="K18" s="22"/>
    </row>
    <row r="19" spans="1:11">
      <c r="A19" s="25" t="s">
        <v>1828</v>
      </c>
      <c r="B19" s="26" t="s">
        <v>1827</v>
      </c>
      <c r="C19" s="26" t="s">
        <v>821</v>
      </c>
      <c r="D19" s="26" t="str">
        <f>"0,5949"</f>
        <v>0,5949</v>
      </c>
      <c r="E19" s="25" t="s">
        <v>18</v>
      </c>
      <c r="F19" s="25" t="s">
        <v>95</v>
      </c>
      <c r="G19" s="26" t="s">
        <v>24</v>
      </c>
      <c r="H19" s="58" t="s">
        <v>1826</v>
      </c>
      <c r="I19" s="25" t="str">
        <f>"1900,0"</f>
        <v>1900,0</v>
      </c>
      <c r="J19" s="26" t="str">
        <f>"1130,3100"</f>
        <v>1130,3100</v>
      </c>
      <c r="K19" s="25" t="s">
        <v>1825</v>
      </c>
    </row>
    <row r="20" spans="1:11">
      <c r="A20" s="25" t="s">
        <v>1824</v>
      </c>
      <c r="B20" s="26" t="s">
        <v>1823</v>
      </c>
      <c r="C20" s="26" t="s">
        <v>1822</v>
      </c>
      <c r="D20" s="26" t="str">
        <f>"0,6090"</f>
        <v>0,6090</v>
      </c>
      <c r="E20" s="25" t="s">
        <v>18</v>
      </c>
      <c r="F20" s="25" t="s">
        <v>1821</v>
      </c>
      <c r="G20" s="26" t="s">
        <v>112</v>
      </c>
      <c r="H20" s="58" t="s">
        <v>1820</v>
      </c>
      <c r="I20" s="25" t="str">
        <f>"3422,5"</f>
        <v>3422,5</v>
      </c>
      <c r="J20" s="26" t="str">
        <f>"2084,1314"</f>
        <v>2084,1314</v>
      </c>
      <c r="K20" s="25"/>
    </row>
    <row r="21" spans="1:11">
      <c r="A21" s="29" t="s">
        <v>1819</v>
      </c>
      <c r="B21" s="28" t="s">
        <v>1818</v>
      </c>
      <c r="C21" s="28" t="s">
        <v>1126</v>
      </c>
      <c r="D21" s="28" t="str">
        <f>"0,5889"</f>
        <v>0,5889</v>
      </c>
      <c r="E21" s="29" t="s">
        <v>1356</v>
      </c>
      <c r="F21" s="29" t="s">
        <v>177</v>
      </c>
      <c r="G21" s="28" t="s">
        <v>1817</v>
      </c>
      <c r="H21" s="56" t="s">
        <v>1759</v>
      </c>
      <c r="I21" s="29" t="str">
        <f>"2145,0"</f>
        <v>2145,0</v>
      </c>
      <c r="J21" s="28" t="str">
        <f>"1275,7141"</f>
        <v>1275,7141</v>
      </c>
      <c r="K21" s="29"/>
    </row>
    <row r="23" spans="1:11" ht="15">
      <c r="A23" s="47" t="s">
        <v>184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1">
      <c r="A24" s="22" t="s">
        <v>1816</v>
      </c>
      <c r="B24" s="23" t="s">
        <v>404</v>
      </c>
      <c r="C24" s="23" t="s">
        <v>405</v>
      </c>
      <c r="D24" s="23" t="str">
        <f>"0,5625"</f>
        <v>0,5625</v>
      </c>
      <c r="E24" s="22" t="s">
        <v>18</v>
      </c>
      <c r="F24" s="22" t="s">
        <v>406</v>
      </c>
      <c r="G24" s="23" t="s">
        <v>1815</v>
      </c>
      <c r="H24" s="57" t="s">
        <v>1767</v>
      </c>
      <c r="I24" s="22" t="str">
        <f>"2530,0"</f>
        <v>2530,0</v>
      </c>
      <c r="J24" s="23" t="str">
        <f>"1423,1250"</f>
        <v>1423,1250</v>
      </c>
      <c r="K24" s="22"/>
    </row>
    <row r="25" spans="1:11">
      <c r="A25" s="29" t="s">
        <v>564</v>
      </c>
      <c r="B25" s="28" t="s">
        <v>1814</v>
      </c>
      <c r="C25" s="28" t="s">
        <v>566</v>
      </c>
      <c r="D25" s="28" t="str">
        <f>"0,5713"</f>
        <v>0,5713</v>
      </c>
      <c r="E25" s="29" t="s">
        <v>18</v>
      </c>
      <c r="F25" s="29" t="s">
        <v>177</v>
      </c>
      <c r="G25" s="28" t="s">
        <v>25</v>
      </c>
      <c r="H25" s="56" t="s">
        <v>738</v>
      </c>
      <c r="I25" s="29" t="str">
        <f>"2625,0"</f>
        <v>2625,0</v>
      </c>
      <c r="J25" s="28" t="str">
        <f>"1514,5266"</f>
        <v>1514,5266</v>
      </c>
      <c r="K25" s="29"/>
    </row>
    <row r="27" spans="1:11" ht="15">
      <c r="E27" s="12" t="s">
        <v>64</v>
      </c>
    </row>
    <row r="28" spans="1:11" ht="15">
      <c r="E28" s="12" t="s">
        <v>65</v>
      </c>
    </row>
    <row r="29" spans="1:11" ht="15">
      <c r="E29" s="12" t="s">
        <v>66</v>
      </c>
    </row>
    <row r="30" spans="1:11">
      <c r="E30" s="4" t="s">
        <v>67</v>
      </c>
    </row>
    <row r="31" spans="1:11">
      <c r="E31" s="4" t="s">
        <v>68</v>
      </c>
    </row>
    <row r="32" spans="1:11">
      <c r="E32" s="4" t="s">
        <v>69</v>
      </c>
    </row>
    <row r="35" spans="1:5" s="3" customFormat="1" ht="18">
      <c r="A35" s="13" t="s">
        <v>70</v>
      </c>
      <c r="B35" s="14"/>
      <c r="C35" s="5"/>
      <c r="D35" s="5"/>
      <c r="E35" s="4"/>
    </row>
    <row r="36" spans="1:5" s="3" customFormat="1" ht="15">
      <c r="A36" s="15" t="s">
        <v>213</v>
      </c>
      <c r="B36" s="32"/>
      <c r="C36" s="5"/>
      <c r="D36" s="5"/>
      <c r="E36" s="4"/>
    </row>
    <row r="37" spans="1:5" s="3" customFormat="1" ht="14.25">
      <c r="A37" s="18"/>
      <c r="B37" s="19" t="s">
        <v>80</v>
      </c>
      <c r="C37" s="5"/>
      <c r="D37" s="5"/>
      <c r="E37" s="4"/>
    </row>
    <row r="38" spans="1:5" s="3" customFormat="1" ht="15">
      <c r="A38" s="20" t="s">
        <v>0</v>
      </c>
      <c r="B38" s="20" t="s">
        <v>73</v>
      </c>
      <c r="C38" s="20" t="s">
        <v>74</v>
      </c>
      <c r="D38" s="20" t="s">
        <v>75</v>
      </c>
      <c r="E38" s="20" t="s">
        <v>11</v>
      </c>
    </row>
    <row r="39" spans="1:5" s="3" customFormat="1">
      <c r="A39" s="17" t="s">
        <v>1680</v>
      </c>
      <c r="B39" s="5" t="s">
        <v>80</v>
      </c>
      <c r="C39" s="5" t="s">
        <v>217</v>
      </c>
      <c r="D39" s="5" t="s">
        <v>1813</v>
      </c>
      <c r="E39" s="21" t="s">
        <v>1812</v>
      </c>
    </row>
    <row r="40" spans="1:5" s="3" customFormat="1">
      <c r="A40" s="17" t="s">
        <v>1799</v>
      </c>
      <c r="B40" s="5" t="s">
        <v>80</v>
      </c>
      <c r="C40" s="5" t="s">
        <v>229</v>
      </c>
      <c r="D40" s="5" t="s">
        <v>1798</v>
      </c>
      <c r="E40" s="21" t="s">
        <v>1811</v>
      </c>
    </row>
    <row r="41" spans="1:5" s="3" customFormat="1">
      <c r="A41" s="17" t="s">
        <v>402</v>
      </c>
      <c r="B41" s="5" t="s">
        <v>80</v>
      </c>
      <c r="C41" s="5" t="s">
        <v>222</v>
      </c>
      <c r="D41" s="5" t="s">
        <v>1810</v>
      </c>
      <c r="E41" s="21" t="s">
        <v>1809</v>
      </c>
    </row>
    <row r="42" spans="1:5" s="3" customFormat="1">
      <c r="A42" s="17" t="s">
        <v>1808</v>
      </c>
      <c r="B42" s="5" t="s">
        <v>80</v>
      </c>
      <c r="C42" s="5" t="s">
        <v>87</v>
      </c>
      <c r="D42" s="5" t="s">
        <v>1807</v>
      </c>
      <c r="E42" s="21" t="s">
        <v>1806</v>
      </c>
    </row>
    <row r="43" spans="1:5" s="3" customFormat="1">
      <c r="A43" s="17" t="s">
        <v>1805</v>
      </c>
      <c r="B43" s="5" t="s">
        <v>80</v>
      </c>
      <c r="C43" s="5" t="s">
        <v>217</v>
      </c>
      <c r="D43" s="5" t="s">
        <v>1804</v>
      </c>
      <c r="E43" s="21" t="s">
        <v>1803</v>
      </c>
    </row>
    <row r="44" spans="1:5" s="3" customFormat="1">
      <c r="A44" s="17" t="s">
        <v>1802</v>
      </c>
      <c r="B44" s="5" t="s">
        <v>80</v>
      </c>
      <c r="C44" s="5" t="s">
        <v>87</v>
      </c>
      <c r="D44" s="5" t="s">
        <v>1801</v>
      </c>
      <c r="E44" s="21" t="s">
        <v>1800</v>
      </c>
    </row>
    <row r="46" spans="1:5" s="3" customFormat="1" ht="14.25">
      <c r="A46" s="18"/>
      <c r="B46" s="19" t="s">
        <v>206</v>
      </c>
      <c r="C46" s="5"/>
      <c r="D46" s="5"/>
      <c r="E46" s="4"/>
    </row>
    <row r="47" spans="1:5" s="3" customFormat="1" ht="15">
      <c r="A47" s="20" t="s">
        <v>0</v>
      </c>
      <c r="B47" s="20" t="s">
        <v>73</v>
      </c>
      <c r="C47" s="20" t="s">
        <v>74</v>
      </c>
      <c r="D47" s="20" t="s">
        <v>75</v>
      </c>
      <c r="E47" s="20" t="s">
        <v>11</v>
      </c>
    </row>
    <row r="48" spans="1:5" s="3" customFormat="1">
      <c r="A48" s="17" t="s">
        <v>1799</v>
      </c>
      <c r="B48" s="5" t="s">
        <v>1730</v>
      </c>
      <c r="C48" s="5" t="s">
        <v>229</v>
      </c>
      <c r="D48" s="5" t="s">
        <v>1798</v>
      </c>
      <c r="E48" s="21" t="s">
        <v>1797</v>
      </c>
    </row>
    <row r="49" spans="1:5" s="3" customFormat="1">
      <c r="A49" s="17" t="s">
        <v>1796</v>
      </c>
      <c r="B49" s="5" t="s">
        <v>1730</v>
      </c>
      <c r="C49" s="5" t="s">
        <v>217</v>
      </c>
      <c r="D49" s="5" t="s">
        <v>1795</v>
      </c>
      <c r="E49" s="21" t="s">
        <v>1794</v>
      </c>
    </row>
    <row r="50" spans="1:5" s="3" customFormat="1">
      <c r="A50" s="17" t="s">
        <v>342</v>
      </c>
      <c r="B50" s="5" t="s">
        <v>1730</v>
      </c>
      <c r="C50" s="5" t="s">
        <v>87</v>
      </c>
      <c r="D50" s="5" t="s">
        <v>1793</v>
      </c>
      <c r="E50" s="21" t="s">
        <v>1792</v>
      </c>
    </row>
    <row r="51" spans="1:5" s="3" customFormat="1">
      <c r="A51" s="17" t="s">
        <v>563</v>
      </c>
      <c r="B51" s="5" t="s">
        <v>1730</v>
      </c>
      <c r="C51" s="5" t="s">
        <v>222</v>
      </c>
      <c r="D51" s="5" t="s">
        <v>1791</v>
      </c>
      <c r="E51" s="21" t="s">
        <v>1790</v>
      </c>
    </row>
    <row r="52" spans="1:5" s="3" customFormat="1">
      <c r="A52" s="17" t="s">
        <v>346</v>
      </c>
      <c r="B52" s="5" t="s">
        <v>1730</v>
      </c>
      <c r="C52" s="5" t="s">
        <v>455</v>
      </c>
      <c r="D52" s="5" t="s">
        <v>1787</v>
      </c>
      <c r="E52" s="21" t="s">
        <v>1789</v>
      </c>
    </row>
    <row r="53" spans="1:5" s="3" customFormat="1">
      <c r="A53" s="17" t="s">
        <v>1788</v>
      </c>
      <c r="B53" s="5" t="s">
        <v>1730</v>
      </c>
      <c r="C53" s="5" t="s">
        <v>217</v>
      </c>
      <c r="D53" s="5" t="s">
        <v>1787</v>
      </c>
      <c r="E53" s="21" t="s">
        <v>1786</v>
      </c>
    </row>
  </sheetData>
  <mergeCells count="16">
    <mergeCell ref="E3:E4"/>
    <mergeCell ref="A5:J5"/>
    <mergeCell ref="A10:J10"/>
    <mergeCell ref="A13:J13"/>
    <mergeCell ref="A17:J17"/>
    <mergeCell ref="A23:J23"/>
    <mergeCell ref="D3:D4"/>
    <mergeCell ref="I3:I4"/>
    <mergeCell ref="J3:J4"/>
    <mergeCell ref="A1:K2"/>
    <mergeCell ref="G3:H3"/>
    <mergeCell ref="A3:A4"/>
    <mergeCell ref="B3:B4"/>
    <mergeCell ref="C3:C4"/>
    <mergeCell ref="K3:K4"/>
    <mergeCell ref="F3:F4"/>
  </mergeCells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4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421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22" t="s">
        <v>515</v>
      </c>
      <c r="B6" s="23" t="s">
        <v>516</v>
      </c>
      <c r="C6" s="23" t="s">
        <v>517</v>
      </c>
      <c r="D6" s="23" t="str">
        <f>"0,5509"</f>
        <v>0,5509</v>
      </c>
      <c r="E6" s="22" t="s">
        <v>18</v>
      </c>
      <c r="F6" s="22" t="s">
        <v>395</v>
      </c>
      <c r="G6" s="23" t="s">
        <v>141</v>
      </c>
      <c r="H6" s="23" t="s">
        <v>811</v>
      </c>
      <c r="I6" s="24" t="s">
        <v>265</v>
      </c>
      <c r="J6" s="24"/>
      <c r="K6" s="22" t="str">
        <f>"262,5"</f>
        <v>262,5</v>
      </c>
      <c r="L6" s="23" t="str">
        <f>"144,6244"</f>
        <v>144,6244</v>
      </c>
      <c r="M6" s="22"/>
    </row>
    <row r="7" spans="1:13" s="5" customFormat="1">
      <c r="A7" s="25" t="s">
        <v>1423</v>
      </c>
      <c r="B7" s="26" t="s">
        <v>1424</v>
      </c>
      <c r="C7" s="26" t="s">
        <v>1425</v>
      </c>
      <c r="D7" s="26" t="str">
        <f>"0,5586"</f>
        <v>0,5586</v>
      </c>
      <c r="E7" s="25" t="s">
        <v>18</v>
      </c>
      <c r="F7" s="25" t="s">
        <v>1426</v>
      </c>
      <c r="G7" s="26" t="s">
        <v>143</v>
      </c>
      <c r="H7" s="26" t="s">
        <v>166</v>
      </c>
      <c r="I7" s="26" t="s">
        <v>198</v>
      </c>
      <c r="J7" s="27"/>
      <c r="K7" s="25" t="str">
        <f>"270,0"</f>
        <v>270,0</v>
      </c>
      <c r="L7" s="26" t="str">
        <f>"152,3166"</f>
        <v>152,3166</v>
      </c>
      <c r="M7" s="25"/>
    </row>
    <row r="8" spans="1:13">
      <c r="A8" s="29" t="s">
        <v>1428</v>
      </c>
      <c r="B8" s="28" t="s">
        <v>1429</v>
      </c>
      <c r="C8" s="28" t="s">
        <v>1430</v>
      </c>
      <c r="D8" s="28" t="str">
        <f>"0,5527"</f>
        <v>0,5527</v>
      </c>
      <c r="E8" s="29" t="s">
        <v>18</v>
      </c>
      <c r="F8" s="29" t="s">
        <v>395</v>
      </c>
      <c r="G8" s="30" t="s">
        <v>166</v>
      </c>
      <c r="H8" s="28" t="s">
        <v>166</v>
      </c>
      <c r="I8" s="30" t="s">
        <v>265</v>
      </c>
      <c r="J8" s="30"/>
      <c r="K8" s="29" t="str">
        <f>"260,0"</f>
        <v>260,0</v>
      </c>
      <c r="L8" s="28" t="str">
        <f>"145,1390"</f>
        <v>145,1390</v>
      </c>
      <c r="M8" s="29"/>
    </row>
    <row r="10" spans="1:13" ht="15">
      <c r="E10" s="12" t="s">
        <v>64</v>
      </c>
    </row>
    <row r="11" spans="1:13" ht="15">
      <c r="E11" s="12" t="s">
        <v>65</v>
      </c>
    </row>
    <row r="12" spans="1:13" ht="15">
      <c r="E12" s="12" t="s">
        <v>66</v>
      </c>
    </row>
    <row r="13" spans="1:13">
      <c r="E13" s="4" t="s">
        <v>67</v>
      </c>
    </row>
    <row r="14" spans="1:13">
      <c r="E14" s="4" t="s">
        <v>68</v>
      </c>
    </row>
    <row r="15" spans="1:13">
      <c r="E15" s="4" t="s">
        <v>69</v>
      </c>
    </row>
    <row r="18" spans="1:5" ht="18">
      <c r="A18" s="13" t="s">
        <v>70</v>
      </c>
      <c r="B18" s="14"/>
    </row>
    <row r="19" spans="1:5" ht="15">
      <c r="A19" s="15" t="s">
        <v>213</v>
      </c>
      <c r="B19" s="16"/>
    </row>
    <row r="20" spans="1:5" ht="14.25">
      <c r="A20" s="18"/>
      <c r="B20" s="19" t="s">
        <v>80</v>
      </c>
    </row>
    <row r="21" spans="1:5" ht="15">
      <c r="A21" s="20" t="s">
        <v>0</v>
      </c>
      <c r="B21" s="20" t="s">
        <v>73</v>
      </c>
      <c r="C21" s="20" t="s">
        <v>74</v>
      </c>
      <c r="D21" s="20" t="s">
        <v>75</v>
      </c>
      <c r="E21" s="20" t="s">
        <v>11</v>
      </c>
    </row>
    <row r="22" spans="1:5">
      <c r="A22" s="17" t="s">
        <v>514</v>
      </c>
      <c r="B22" s="5" t="s">
        <v>80</v>
      </c>
      <c r="C22" s="5" t="s">
        <v>468</v>
      </c>
      <c r="D22" s="5" t="s">
        <v>811</v>
      </c>
      <c r="E22" s="21" t="s">
        <v>1431</v>
      </c>
    </row>
    <row r="24" spans="1:5" ht="14.25">
      <c r="A24" s="18"/>
      <c r="B24" s="19" t="s">
        <v>206</v>
      </c>
    </row>
    <row r="25" spans="1:5" ht="15">
      <c r="A25" s="20" t="s">
        <v>0</v>
      </c>
      <c r="B25" s="20" t="s">
        <v>73</v>
      </c>
      <c r="C25" s="20" t="s">
        <v>74</v>
      </c>
      <c r="D25" s="20" t="s">
        <v>75</v>
      </c>
      <c r="E25" s="20" t="s">
        <v>11</v>
      </c>
    </row>
    <row r="26" spans="1:5">
      <c r="A26" s="17" t="s">
        <v>1422</v>
      </c>
      <c r="B26" s="5" t="s">
        <v>241</v>
      </c>
      <c r="C26" s="5" t="s">
        <v>468</v>
      </c>
      <c r="D26" s="5" t="s">
        <v>198</v>
      </c>
      <c r="E26" s="21" t="s">
        <v>1432</v>
      </c>
    </row>
    <row r="27" spans="1:5">
      <c r="A27" s="17" t="s">
        <v>1427</v>
      </c>
      <c r="B27" s="5" t="s">
        <v>241</v>
      </c>
      <c r="C27" s="5" t="s">
        <v>468</v>
      </c>
      <c r="D27" s="5" t="s">
        <v>166</v>
      </c>
      <c r="E27" s="21" t="s">
        <v>1433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710937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4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114</v>
      </c>
      <c r="B6" s="10" t="s">
        <v>115</v>
      </c>
      <c r="C6" s="10" t="s">
        <v>1410</v>
      </c>
      <c r="D6" s="10" t="str">
        <f>"0,8342"</f>
        <v>0,8342</v>
      </c>
      <c r="E6" s="9" t="s">
        <v>18</v>
      </c>
      <c r="F6" s="9" t="s">
        <v>60</v>
      </c>
      <c r="G6" s="10" t="s">
        <v>78</v>
      </c>
      <c r="H6" s="10" t="s">
        <v>128</v>
      </c>
      <c r="I6" s="11" t="s">
        <v>150</v>
      </c>
      <c r="J6" s="11"/>
      <c r="K6" s="9" t="str">
        <f>"205,0"</f>
        <v>205,0</v>
      </c>
      <c r="L6" s="10" t="str">
        <f>"171,0110"</f>
        <v>171,0110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41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9" t="s">
        <v>246</v>
      </c>
      <c r="B9" s="10" t="s">
        <v>247</v>
      </c>
      <c r="C9" s="10" t="s">
        <v>1411</v>
      </c>
      <c r="D9" s="10" t="str">
        <f>"0,7786"</f>
        <v>0,7786</v>
      </c>
      <c r="E9" s="9" t="s">
        <v>18</v>
      </c>
      <c r="F9" s="9" t="s">
        <v>60</v>
      </c>
      <c r="G9" s="10" t="s">
        <v>263</v>
      </c>
      <c r="H9" s="11" t="s">
        <v>253</v>
      </c>
      <c r="I9" s="11" t="s">
        <v>253</v>
      </c>
      <c r="J9" s="11"/>
      <c r="K9" s="9" t="str">
        <f>"182,5"</f>
        <v>182,5</v>
      </c>
      <c r="L9" s="10" t="str">
        <f>"142,0945"</f>
        <v>142,0945</v>
      </c>
      <c r="M9" s="9"/>
    </row>
    <row r="11" spans="1:13" ht="15">
      <c r="A11" s="47" t="s">
        <v>161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9" t="s">
        <v>1413</v>
      </c>
      <c r="B12" s="10" t="s">
        <v>1414</v>
      </c>
      <c r="C12" s="10" t="s">
        <v>165</v>
      </c>
      <c r="D12" s="10" t="str">
        <f>"0,5929"</f>
        <v>0,5929</v>
      </c>
      <c r="E12" s="9" t="s">
        <v>18</v>
      </c>
      <c r="F12" s="9" t="s">
        <v>1415</v>
      </c>
      <c r="G12" s="10" t="s">
        <v>166</v>
      </c>
      <c r="H12" s="11" t="s">
        <v>1416</v>
      </c>
      <c r="I12" s="11" t="s">
        <v>1416</v>
      </c>
      <c r="J12" s="11"/>
      <c r="K12" s="9" t="str">
        <f>"260,0"</f>
        <v>260,0</v>
      </c>
      <c r="L12" s="10" t="str">
        <f>"154,1410"</f>
        <v>154,1410</v>
      </c>
      <c r="M12" s="9"/>
    </row>
    <row r="14" spans="1:13" ht="15">
      <c r="A14" s="47" t="s">
        <v>448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>
      <c r="A15" s="22" t="s">
        <v>572</v>
      </c>
      <c r="B15" s="23" t="s">
        <v>573</v>
      </c>
      <c r="C15" s="23" t="s">
        <v>574</v>
      </c>
      <c r="D15" s="23" t="str">
        <f>"0,5193"</f>
        <v>0,5193</v>
      </c>
      <c r="E15" s="22" t="s">
        <v>18</v>
      </c>
      <c r="F15" s="22" t="s">
        <v>575</v>
      </c>
      <c r="G15" s="23" t="s">
        <v>1363</v>
      </c>
      <c r="H15" s="23" t="s">
        <v>524</v>
      </c>
      <c r="I15" s="24"/>
      <c r="J15" s="24"/>
      <c r="K15" s="22" t="str">
        <f>"320,0"</f>
        <v>320,0</v>
      </c>
      <c r="L15" s="23" t="str">
        <f>"166,1856"</f>
        <v>166,1856</v>
      </c>
      <c r="M15" s="22"/>
    </row>
    <row r="16" spans="1:13">
      <c r="A16" s="29" t="s">
        <v>572</v>
      </c>
      <c r="B16" s="28" t="s">
        <v>577</v>
      </c>
      <c r="C16" s="28" t="s">
        <v>574</v>
      </c>
      <c r="D16" s="28" t="str">
        <f>"0,5193"</f>
        <v>0,5193</v>
      </c>
      <c r="E16" s="29" t="s">
        <v>18</v>
      </c>
      <c r="F16" s="29" t="s">
        <v>575</v>
      </c>
      <c r="G16" s="28" t="s">
        <v>1363</v>
      </c>
      <c r="H16" s="28" t="s">
        <v>524</v>
      </c>
      <c r="I16" s="30"/>
      <c r="J16" s="30"/>
      <c r="K16" s="29" t="str">
        <f>"320,0"</f>
        <v>320,0</v>
      </c>
      <c r="L16" s="28" t="str">
        <f>"173,3316"</f>
        <v>173,3316</v>
      </c>
      <c r="M16" s="29"/>
    </row>
    <row r="18" spans="1:5" ht="15">
      <c r="E18" s="12" t="s">
        <v>64</v>
      </c>
    </row>
    <row r="19" spans="1:5" ht="15">
      <c r="E19" s="12" t="s">
        <v>65</v>
      </c>
    </row>
    <row r="20" spans="1:5" ht="15">
      <c r="E20" s="12" t="s">
        <v>66</v>
      </c>
    </row>
    <row r="21" spans="1:5">
      <c r="E21" s="4" t="s">
        <v>67</v>
      </c>
    </row>
    <row r="22" spans="1:5">
      <c r="E22" s="4" t="s">
        <v>68</v>
      </c>
    </row>
    <row r="23" spans="1:5">
      <c r="E23" s="4" t="s">
        <v>69</v>
      </c>
    </row>
    <row r="26" spans="1:5" ht="18">
      <c r="A26" s="13" t="s">
        <v>70</v>
      </c>
      <c r="B26" s="14"/>
    </row>
    <row r="27" spans="1:5" ht="15">
      <c r="A27" s="15" t="s">
        <v>213</v>
      </c>
      <c r="B27" s="16"/>
    </row>
    <row r="28" spans="1:5" ht="14.25">
      <c r="A28" s="18"/>
      <c r="B28" s="19" t="s">
        <v>72</v>
      </c>
    </row>
    <row r="29" spans="1:5" ht="15">
      <c r="A29" s="20" t="s">
        <v>0</v>
      </c>
      <c r="B29" s="20" t="s">
        <v>73</v>
      </c>
      <c r="C29" s="20" t="s">
        <v>74</v>
      </c>
      <c r="D29" s="20" t="s">
        <v>75</v>
      </c>
      <c r="E29" s="20" t="s">
        <v>11</v>
      </c>
    </row>
    <row r="30" spans="1:5">
      <c r="A30" s="17" t="s">
        <v>113</v>
      </c>
      <c r="B30" s="5" t="s">
        <v>76</v>
      </c>
      <c r="C30" s="5" t="s">
        <v>81</v>
      </c>
      <c r="D30" s="5" t="s">
        <v>128</v>
      </c>
      <c r="E30" s="21" t="s">
        <v>1417</v>
      </c>
    </row>
    <row r="31" spans="1:5">
      <c r="A31" s="17" t="s">
        <v>245</v>
      </c>
      <c r="B31" s="5" t="s">
        <v>76</v>
      </c>
      <c r="C31" s="5" t="s">
        <v>77</v>
      </c>
      <c r="D31" s="5" t="s">
        <v>263</v>
      </c>
      <c r="E31" s="21" t="s">
        <v>1418</v>
      </c>
    </row>
    <row r="33" spans="1:5" ht="14.25">
      <c r="A33" s="18"/>
      <c r="B33" s="19" t="s">
        <v>80</v>
      </c>
    </row>
    <row r="34" spans="1:5" ht="15">
      <c r="A34" s="20" t="s">
        <v>0</v>
      </c>
      <c r="B34" s="20" t="s">
        <v>73</v>
      </c>
      <c r="C34" s="20" t="s">
        <v>74</v>
      </c>
      <c r="D34" s="20" t="s">
        <v>75</v>
      </c>
      <c r="E34" s="20" t="s">
        <v>11</v>
      </c>
    </row>
    <row r="35" spans="1:5">
      <c r="A35" s="17" t="s">
        <v>571</v>
      </c>
      <c r="B35" s="5" t="s">
        <v>80</v>
      </c>
      <c r="C35" s="5" t="s">
        <v>473</v>
      </c>
      <c r="D35" s="5" t="s">
        <v>524</v>
      </c>
      <c r="E35" s="21" t="s">
        <v>1419</v>
      </c>
    </row>
    <row r="36" spans="1:5">
      <c r="A36" s="17" t="s">
        <v>1412</v>
      </c>
      <c r="B36" s="5" t="s">
        <v>80</v>
      </c>
      <c r="C36" s="5" t="s">
        <v>217</v>
      </c>
      <c r="D36" s="5" t="s">
        <v>166</v>
      </c>
      <c r="E36" s="21" t="s">
        <v>1420</v>
      </c>
    </row>
    <row r="38" spans="1:5" ht="14.25">
      <c r="A38" s="18"/>
      <c r="B38" s="19" t="s">
        <v>206</v>
      </c>
    </row>
    <row r="39" spans="1:5" ht="15">
      <c r="A39" s="20" t="s">
        <v>0</v>
      </c>
      <c r="B39" s="20" t="s">
        <v>73</v>
      </c>
      <c r="C39" s="20" t="s">
        <v>74</v>
      </c>
      <c r="D39" s="20" t="s">
        <v>75</v>
      </c>
      <c r="E39" s="20" t="s">
        <v>11</v>
      </c>
    </row>
    <row r="40" spans="1:5">
      <c r="A40" s="17" t="s">
        <v>571</v>
      </c>
      <c r="B40" s="5" t="s">
        <v>241</v>
      </c>
      <c r="C40" s="5" t="s">
        <v>473</v>
      </c>
      <c r="D40" s="5" t="s">
        <v>524</v>
      </c>
      <c r="E40" s="21" t="s">
        <v>1421</v>
      </c>
    </row>
  </sheetData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9.140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4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288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1336</v>
      </c>
      <c r="B6" s="10" t="s">
        <v>1337</v>
      </c>
      <c r="C6" s="10" t="s">
        <v>292</v>
      </c>
      <c r="D6" s="10" t="str">
        <f>"1,0530"</f>
        <v>1,0530</v>
      </c>
      <c r="E6" s="9" t="s">
        <v>18</v>
      </c>
      <c r="F6" s="9" t="s">
        <v>275</v>
      </c>
      <c r="G6" s="10" t="s">
        <v>24</v>
      </c>
      <c r="H6" s="10" t="s">
        <v>63</v>
      </c>
      <c r="I6" s="11" t="s">
        <v>25</v>
      </c>
      <c r="J6" s="11"/>
      <c r="K6" s="9" t="str">
        <f>"100,0"</f>
        <v>100,0</v>
      </c>
      <c r="L6" s="10" t="str">
        <f>"146,6829"</f>
        <v>146,6829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41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9" t="s">
        <v>1339</v>
      </c>
      <c r="B9" s="10" t="s">
        <v>1340</v>
      </c>
      <c r="C9" s="10" t="s">
        <v>762</v>
      </c>
      <c r="D9" s="10" t="str">
        <f>"0,9102"</f>
        <v>0,9102</v>
      </c>
      <c r="E9" s="9" t="s">
        <v>18</v>
      </c>
      <c r="F9" s="9" t="s">
        <v>19</v>
      </c>
      <c r="G9" s="10" t="s">
        <v>124</v>
      </c>
      <c r="H9" s="10" t="s">
        <v>118</v>
      </c>
      <c r="I9" s="10" t="s">
        <v>149</v>
      </c>
      <c r="J9" s="11"/>
      <c r="K9" s="9" t="str">
        <f>"190,0"</f>
        <v>190,0</v>
      </c>
      <c r="L9" s="10" t="str">
        <f>"172,9380"</f>
        <v>172,9380</v>
      </c>
      <c r="M9" s="9"/>
    </row>
    <row r="11" spans="1:13" ht="15">
      <c r="A11" s="47" t="s">
        <v>305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9" t="s">
        <v>311</v>
      </c>
      <c r="B12" s="10" t="s">
        <v>57</v>
      </c>
      <c r="C12" s="10" t="s">
        <v>312</v>
      </c>
      <c r="D12" s="10" t="str">
        <f>"0,8295"</f>
        <v>0,8295</v>
      </c>
      <c r="E12" s="9" t="s">
        <v>59</v>
      </c>
      <c r="F12" s="9" t="s">
        <v>60</v>
      </c>
      <c r="G12" s="11" t="s">
        <v>52</v>
      </c>
      <c r="H12" s="11"/>
      <c r="I12" s="11"/>
      <c r="J12" s="11"/>
      <c r="K12" s="9" t="str">
        <f>"0.00"</f>
        <v>0.00</v>
      </c>
      <c r="L12" s="10" t="str">
        <f>"0,0000"</f>
        <v>0,0000</v>
      </c>
      <c r="M12" s="9"/>
    </row>
    <row r="14" spans="1:13" ht="15">
      <c r="A14" s="47" t="s">
        <v>144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>
      <c r="A15" s="22" t="s">
        <v>318</v>
      </c>
      <c r="B15" s="23" t="s">
        <v>319</v>
      </c>
      <c r="C15" s="23" t="s">
        <v>320</v>
      </c>
      <c r="D15" s="23" t="str">
        <f>"0,7580"</f>
        <v>0,7580</v>
      </c>
      <c r="E15" s="22" t="s">
        <v>18</v>
      </c>
      <c r="F15" s="22" t="s">
        <v>321</v>
      </c>
      <c r="G15" s="23" t="s">
        <v>150</v>
      </c>
      <c r="H15" s="23" t="s">
        <v>151</v>
      </c>
      <c r="I15" s="23" t="s">
        <v>401</v>
      </c>
      <c r="J15" s="24"/>
      <c r="K15" s="22" t="str">
        <f>"235,0"</f>
        <v>235,0</v>
      </c>
      <c r="L15" s="23" t="str">
        <f>"178,1183"</f>
        <v>178,1183</v>
      </c>
      <c r="M15" s="22"/>
    </row>
    <row r="16" spans="1:13">
      <c r="A16" s="29" t="s">
        <v>318</v>
      </c>
      <c r="B16" s="28" t="s">
        <v>324</v>
      </c>
      <c r="C16" s="28" t="s">
        <v>320</v>
      </c>
      <c r="D16" s="28" t="str">
        <f>"0,7580"</f>
        <v>0,7580</v>
      </c>
      <c r="E16" s="29" t="s">
        <v>18</v>
      </c>
      <c r="F16" s="29" t="s">
        <v>321</v>
      </c>
      <c r="G16" s="28" t="s">
        <v>150</v>
      </c>
      <c r="H16" s="28" t="s">
        <v>151</v>
      </c>
      <c r="I16" s="28" t="s">
        <v>401</v>
      </c>
      <c r="J16" s="30"/>
      <c r="K16" s="29" t="str">
        <f>"235,0"</f>
        <v>235,0</v>
      </c>
      <c r="L16" s="28" t="str">
        <f>"207,5078"</f>
        <v>207,5078</v>
      </c>
      <c r="M16" s="29"/>
    </row>
    <row r="18" spans="1:13" ht="15">
      <c r="A18" s="47" t="s">
        <v>728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3">
      <c r="A19" s="9" t="s">
        <v>1342</v>
      </c>
      <c r="B19" s="10" t="s">
        <v>1343</v>
      </c>
      <c r="C19" s="10" t="s">
        <v>902</v>
      </c>
      <c r="D19" s="10" t="str">
        <f>"1,1077"</f>
        <v>1,1077</v>
      </c>
      <c r="E19" s="9" t="s">
        <v>18</v>
      </c>
      <c r="F19" s="9" t="s">
        <v>275</v>
      </c>
      <c r="G19" s="11" t="s">
        <v>103</v>
      </c>
      <c r="H19" s="10" t="s">
        <v>103</v>
      </c>
      <c r="I19" s="10" t="s">
        <v>96</v>
      </c>
      <c r="J19" s="11"/>
      <c r="K19" s="9" t="str">
        <f>"75,0"</f>
        <v>75,0</v>
      </c>
      <c r="L19" s="10" t="str">
        <f>"83,0738"</f>
        <v>83,0738</v>
      </c>
      <c r="M19" s="9"/>
    </row>
    <row r="21" spans="1:13" ht="15">
      <c r="A21" s="47" t="s">
        <v>54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3">
      <c r="A22" s="22" t="s">
        <v>131</v>
      </c>
      <c r="B22" s="23" t="s">
        <v>132</v>
      </c>
      <c r="C22" s="23" t="s">
        <v>1344</v>
      </c>
      <c r="D22" s="23" t="str">
        <f>"0,6947"</f>
        <v>0,6947</v>
      </c>
      <c r="E22" s="22" t="s">
        <v>18</v>
      </c>
      <c r="F22" s="22" t="s">
        <v>60</v>
      </c>
      <c r="G22" s="24" t="s">
        <v>136</v>
      </c>
      <c r="H22" s="23" t="s">
        <v>604</v>
      </c>
      <c r="I22" s="24" t="s">
        <v>1345</v>
      </c>
      <c r="J22" s="24"/>
      <c r="K22" s="22" t="str">
        <f>"157,5"</f>
        <v>157,5</v>
      </c>
      <c r="L22" s="23" t="str">
        <f>"109,4153"</f>
        <v>109,4153</v>
      </c>
      <c r="M22" s="22"/>
    </row>
    <row r="23" spans="1:13">
      <c r="A23" s="29" t="s">
        <v>1347</v>
      </c>
      <c r="B23" s="28" t="s">
        <v>1348</v>
      </c>
      <c r="C23" s="28" t="s">
        <v>336</v>
      </c>
      <c r="D23" s="28" t="str">
        <f>"0,6927"</f>
        <v>0,6927</v>
      </c>
      <c r="E23" s="29" t="s">
        <v>18</v>
      </c>
      <c r="F23" s="29" t="s">
        <v>110</v>
      </c>
      <c r="G23" s="28" t="s">
        <v>142</v>
      </c>
      <c r="H23" s="28" t="s">
        <v>169</v>
      </c>
      <c r="I23" s="30" t="s">
        <v>170</v>
      </c>
      <c r="J23" s="30"/>
      <c r="K23" s="29" t="str">
        <f>"145,0"</f>
        <v>145,0</v>
      </c>
      <c r="L23" s="28" t="str">
        <f>"100,4343"</f>
        <v>100,4343</v>
      </c>
      <c r="M23" s="29"/>
    </row>
    <row r="25" spans="1:13" ht="15">
      <c r="A25" s="47" t="s">
        <v>305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3">
      <c r="A26" s="22" t="s">
        <v>1350</v>
      </c>
      <c r="B26" s="23" t="s">
        <v>1351</v>
      </c>
      <c r="C26" s="23" t="s">
        <v>788</v>
      </c>
      <c r="D26" s="23" t="str">
        <f>"0,6518"</f>
        <v>0,6518</v>
      </c>
      <c r="E26" s="22" t="s">
        <v>18</v>
      </c>
      <c r="F26" s="22" t="s">
        <v>1352</v>
      </c>
      <c r="G26" s="23" t="s">
        <v>118</v>
      </c>
      <c r="H26" s="23" t="s">
        <v>119</v>
      </c>
      <c r="I26" s="23" t="s">
        <v>129</v>
      </c>
      <c r="J26" s="24"/>
      <c r="K26" s="22" t="str">
        <f>"215,0"</f>
        <v>215,0</v>
      </c>
      <c r="L26" s="23" t="str">
        <f>"140,1477"</f>
        <v>140,1477</v>
      </c>
      <c r="M26" s="22"/>
    </row>
    <row r="27" spans="1:13">
      <c r="A27" s="29" t="s">
        <v>347</v>
      </c>
      <c r="B27" s="28" t="s">
        <v>348</v>
      </c>
      <c r="C27" s="28" t="s">
        <v>349</v>
      </c>
      <c r="D27" s="28" t="str">
        <f>"0,6492"</f>
        <v>0,6492</v>
      </c>
      <c r="E27" s="29" t="s">
        <v>18</v>
      </c>
      <c r="F27" s="29" t="s">
        <v>350</v>
      </c>
      <c r="G27" s="30" t="s">
        <v>119</v>
      </c>
      <c r="H27" s="28" t="s">
        <v>119</v>
      </c>
      <c r="I27" s="30" t="s">
        <v>150</v>
      </c>
      <c r="J27" s="30"/>
      <c r="K27" s="29" t="str">
        <f>"200,0"</f>
        <v>200,0</v>
      </c>
      <c r="L27" s="28" t="str">
        <f>"136,9917"</f>
        <v>136,9917</v>
      </c>
      <c r="M27" s="29"/>
    </row>
    <row r="29" spans="1:13" ht="15">
      <c r="A29" s="47" t="s">
        <v>144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3">
      <c r="A30" s="22" t="s">
        <v>1354</v>
      </c>
      <c r="B30" s="23" t="s">
        <v>1355</v>
      </c>
      <c r="C30" s="23" t="s">
        <v>361</v>
      </c>
      <c r="D30" s="23" t="str">
        <f>"0,6145"</f>
        <v>0,6145</v>
      </c>
      <c r="E30" s="22" t="s">
        <v>1356</v>
      </c>
      <c r="F30" s="22" t="s">
        <v>177</v>
      </c>
      <c r="G30" s="23" t="s">
        <v>810</v>
      </c>
      <c r="H30" s="24" t="s">
        <v>262</v>
      </c>
      <c r="I30" s="23" t="s">
        <v>262</v>
      </c>
      <c r="J30" s="24"/>
      <c r="K30" s="22" t="str">
        <f>"275,0"</f>
        <v>275,0</v>
      </c>
      <c r="L30" s="23" t="str">
        <f>"169,0012"</f>
        <v>169,0012</v>
      </c>
      <c r="M30" s="22"/>
    </row>
    <row r="31" spans="1:13">
      <c r="A31" s="25" t="s">
        <v>1358</v>
      </c>
      <c r="B31" s="26" t="s">
        <v>1359</v>
      </c>
      <c r="C31" s="26" t="s">
        <v>1068</v>
      </c>
      <c r="D31" s="26" t="str">
        <f>"0,6209"</f>
        <v>0,6209</v>
      </c>
      <c r="E31" s="25" t="s">
        <v>18</v>
      </c>
      <c r="F31" s="25" t="s">
        <v>95</v>
      </c>
      <c r="G31" s="26" t="s">
        <v>150</v>
      </c>
      <c r="H31" s="26" t="s">
        <v>85</v>
      </c>
      <c r="I31" s="26" t="s">
        <v>143</v>
      </c>
      <c r="J31" s="27"/>
      <c r="K31" s="25" t="str">
        <f>"230,0"</f>
        <v>230,0</v>
      </c>
      <c r="L31" s="26" t="str">
        <f>"142,8070"</f>
        <v>142,8070</v>
      </c>
      <c r="M31" s="25"/>
    </row>
    <row r="32" spans="1:13">
      <c r="A32" s="25" t="s">
        <v>1354</v>
      </c>
      <c r="B32" s="26" t="s">
        <v>1360</v>
      </c>
      <c r="C32" s="26" t="s">
        <v>361</v>
      </c>
      <c r="D32" s="26" t="str">
        <f>"0,6145"</f>
        <v>0,6145</v>
      </c>
      <c r="E32" s="25" t="s">
        <v>1356</v>
      </c>
      <c r="F32" s="25" t="s">
        <v>177</v>
      </c>
      <c r="G32" s="26" t="s">
        <v>810</v>
      </c>
      <c r="H32" s="27" t="s">
        <v>262</v>
      </c>
      <c r="I32" s="26" t="s">
        <v>262</v>
      </c>
      <c r="J32" s="27"/>
      <c r="K32" s="25" t="str">
        <f>"275,0"</f>
        <v>275,0</v>
      </c>
      <c r="L32" s="26" t="str">
        <f>"172,3813"</f>
        <v>172,3813</v>
      </c>
      <c r="M32" s="25"/>
    </row>
    <row r="33" spans="1:13">
      <c r="A33" s="25" t="s">
        <v>1361</v>
      </c>
      <c r="B33" s="26" t="s">
        <v>159</v>
      </c>
      <c r="C33" s="26" t="s">
        <v>361</v>
      </c>
      <c r="D33" s="26" t="str">
        <f>"0,6145"</f>
        <v>0,6145</v>
      </c>
      <c r="E33" s="25" t="s">
        <v>59</v>
      </c>
      <c r="F33" s="25" t="s">
        <v>60</v>
      </c>
      <c r="G33" s="26" t="s">
        <v>124</v>
      </c>
      <c r="H33" s="26" t="s">
        <v>117</v>
      </c>
      <c r="I33" s="27"/>
      <c r="J33" s="27"/>
      <c r="K33" s="25" t="str">
        <f>"170,0"</f>
        <v>170,0</v>
      </c>
      <c r="L33" s="26" t="str">
        <f>"106,5630"</f>
        <v>106,5630</v>
      </c>
      <c r="M33" s="25"/>
    </row>
    <row r="34" spans="1:13">
      <c r="A34" s="29" t="s">
        <v>373</v>
      </c>
      <c r="B34" s="28" t="s">
        <v>374</v>
      </c>
      <c r="C34" s="28" t="s">
        <v>365</v>
      </c>
      <c r="D34" s="28" t="str">
        <f>"0,6273"</f>
        <v>0,6273</v>
      </c>
      <c r="E34" s="29" t="s">
        <v>18</v>
      </c>
      <c r="F34" s="29" t="s">
        <v>375</v>
      </c>
      <c r="G34" s="28" t="s">
        <v>119</v>
      </c>
      <c r="H34" s="30" t="s">
        <v>129</v>
      </c>
      <c r="I34" s="30" t="s">
        <v>129</v>
      </c>
      <c r="J34" s="30"/>
      <c r="K34" s="29" t="str">
        <f>"200,0"</f>
        <v>200,0</v>
      </c>
      <c r="L34" s="28" t="str">
        <f>"220,2902"</f>
        <v>220,2902</v>
      </c>
      <c r="M34" s="29"/>
    </row>
    <row r="36" spans="1:13" ht="15">
      <c r="A36" s="47" t="s">
        <v>161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3">
      <c r="A37" s="22" t="s">
        <v>163</v>
      </c>
      <c r="B37" s="23" t="s">
        <v>164</v>
      </c>
      <c r="C37" s="23" t="s">
        <v>1362</v>
      </c>
      <c r="D37" s="23" t="str">
        <f>"0,5955"</f>
        <v>0,5955</v>
      </c>
      <c r="E37" s="22" t="s">
        <v>18</v>
      </c>
      <c r="F37" s="22" t="s">
        <v>60</v>
      </c>
      <c r="G37" s="23" t="s">
        <v>167</v>
      </c>
      <c r="H37" s="23" t="s">
        <v>1363</v>
      </c>
      <c r="I37" s="24" t="s">
        <v>524</v>
      </c>
      <c r="J37" s="24"/>
      <c r="K37" s="22" t="str">
        <f>"305,0"</f>
        <v>305,0</v>
      </c>
      <c r="L37" s="23" t="str">
        <f>"181,6275"</f>
        <v>181,6275</v>
      </c>
      <c r="M37" s="22"/>
    </row>
    <row r="38" spans="1:13">
      <c r="A38" s="29" t="s">
        <v>1365</v>
      </c>
      <c r="B38" s="28" t="s">
        <v>1366</v>
      </c>
      <c r="C38" s="28" t="s">
        <v>1367</v>
      </c>
      <c r="D38" s="28" t="str">
        <f>"0,5878"</f>
        <v>0,5878</v>
      </c>
      <c r="E38" s="29" t="s">
        <v>18</v>
      </c>
      <c r="F38" s="29" t="s">
        <v>1011</v>
      </c>
      <c r="G38" s="28" t="s">
        <v>166</v>
      </c>
      <c r="H38" s="28" t="s">
        <v>167</v>
      </c>
      <c r="I38" s="30"/>
      <c r="J38" s="30"/>
      <c r="K38" s="29" t="str">
        <f>"280,0"</f>
        <v>280,0</v>
      </c>
      <c r="L38" s="28" t="str">
        <f>"164,5700"</f>
        <v>164,5700</v>
      </c>
      <c r="M38" s="29"/>
    </row>
    <row r="40" spans="1:13" ht="15">
      <c r="A40" s="47" t="s">
        <v>184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3">
      <c r="A41" s="22" t="s">
        <v>186</v>
      </c>
      <c r="B41" s="23" t="s">
        <v>187</v>
      </c>
      <c r="C41" s="23" t="s">
        <v>1368</v>
      </c>
      <c r="D41" s="23" t="str">
        <f>"0,5690"</f>
        <v>0,5690</v>
      </c>
      <c r="E41" s="22" t="s">
        <v>18</v>
      </c>
      <c r="F41" s="22" t="s">
        <v>60</v>
      </c>
      <c r="G41" s="23" t="s">
        <v>128</v>
      </c>
      <c r="H41" s="23" t="s">
        <v>85</v>
      </c>
      <c r="I41" s="24" t="s">
        <v>151</v>
      </c>
      <c r="J41" s="24"/>
      <c r="K41" s="22" t="str">
        <f>"220,0"</f>
        <v>220,0</v>
      </c>
      <c r="L41" s="23" t="str">
        <f>"125,1800"</f>
        <v>125,1800</v>
      </c>
      <c r="M41" s="22"/>
    </row>
    <row r="42" spans="1:13">
      <c r="A42" s="25" t="s">
        <v>194</v>
      </c>
      <c r="B42" s="26" t="s">
        <v>195</v>
      </c>
      <c r="C42" s="26" t="s">
        <v>1369</v>
      </c>
      <c r="D42" s="26" t="str">
        <f>"0,5681"</f>
        <v>0,5681</v>
      </c>
      <c r="E42" s="25" t="s">
        <v>59</v>
      </c>
      <c r="F42" s="25" t="s">
        <v>60</v>
      </c>
      <c r="G42" s="26" t="s">
        <v>197</v>
      </c>
      <c r="H42" s="26" t="s">
        <v>198</v>
      </c>
      <c r="I42" s="26" t="s">
        <v>553</v>
      </c>
      <c r="J42" s="27"/>
      <c r="K42" s="25" t="str">
        <f>"290,0"</f>
        <v>290,0</v>
      </c>
      <c r="L42" s="26" t="str">
        <f>"164,7490"</f>
        <v>164,7490</v>
      </c>
      <c r="M42" s="25"/>
    </row>
    <row r="43" spans="1:13">
      <c r="A43" s="29" t="s">
        <v>194</v>
      </c>
      <c r="B43" s="28" t="s">
        <v>205</v>
      </c>
      <c r="C43" s="28" t="s">
        <v>1369</v>
      </c>
      <c r="D43" s="28" t="str">
        <f>"0,5681"</f>
        <v>0,5681</v>
      </c>
      <c r="E43" s="29" t="s">
        <v>59</v>
      </c>
      <c r="F43" s="29" t="s">
        <v>60</v>
      </c>
      <c r="G43" s="28" t="s">
        <v>197</v>
      </c>
      <c r="H43" s="28" t="s">
        <v>198</v>
      </c>
      <c r="I43" s="28" t="s">
        <v>553</v>
      </c>
      <c r="J43" s="30"/>
      <c r="K43" s="29" t="str">
        <f>"290,0"</f>
        <v>290,0</v>
      </c>
      <c r="L43" s="28" t="str">
        <f>"168,0440"</f>
        <v>168,0440</v>
      </c>
      <c r="M43" s="29"/>
    </row>
    <row r="45" spans="1:13" ht="15">
      <c r="A45" s="47" t="s">
        <v>518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3">
      <c r="A46" s="22" t="s">
        <v>1371</v>
      </c>
      <c r="B46" s="23" t="s">
        <v>1372</v>
      </c>
      <c r="C46" s="23" t="s">
        <v>1373</v>
      </c>
      <c r="D46" s="23" t="str">
        <f>"0,5407"</f>
        <v>0,5407</v>
      </c>
      <c r="E46" s="22" t="s">
        <v>18</v>
      </c>
      <c r="F46" s="22" t="s">
        <v>406</v>
      </c>
      <c r="G46" s="23" t="s">
        <v>167</v>
      </c>
      <c r="H46" s="23" t="s">
        <v>277</v>
      </c>
      <c r="I46" s="24" t="s">
        <v>1374</v>
      </c>
      <c r="J46" s="24"/>
      <c r="K46" s="22" t="str">
        <f>"310,0"</f>
        <v>310,0</v>
      </c>
      <c r="L46" s="23" t="str">
        <f>"167,6201"</f>
        <v>167,6201</v>
      </c>
      <c r="M46" s="22"/>
    </row>
    <row r="47" spans="1:13">
      <c r="A47" s="25" t="s">
        <v>1376</v>
      </c>
      <c r="B47" s="26" t="s">
        <v>1377</v>
      </c>
      <c r="C47" s="26" t="s">
        <v>1378</v>
      </c>
      <c r="D47" s="26" t="str">
        <f>"0,5313"</f>
        <v>0,5313</v>
      </c>
      <c r="E47" s="25" t="s">
        <v>18</v>
      </c>
      <c r="F47" s="25" t="s">
        <v>1165</v>
      </c>
      <c r="G47" s="26" t="s">
        <v>197</v>
      </c>
      <c r="H47" s="26" t="s">
        <v>167</v>
      </c>
      <c r="I47" s="27" t="s">
        <v>276</v>
      </c>
      <c r="J47" s="27"/>
      <c r="K47" s="25" t="str">
        <f>"280,0"</f>
        <v>280,0</v>
      </c>
      <c r="L47" s="26" t="str">
        <f>"150,2601"</f>
        <v>150,2601</v>
      </c>
      <c r="M47" s="25"/>
    </row>
    <row r="48" spans="1:13">
      <c r="A48" s="25" t="s">
        <v>1380</v>
      </c>
      <c r="B48" s="26" t="s">
        <v>1381</v>
      </c>
      <c r="C48" s="26" t="s">
        <v>1382</v>
      </c>
      <c r="D48" s="26" t="str">
        <f>"0,5368"</f>
        <v>0,5368</v>
      </c>
      <c r="E48" s="25" t="s">
        <v>18</v>
      </c>
      <c r="F48" s="25" t="s">
        <v>1383</v>
      </c>
      <c r="G48" s="26" t="s">
        <v>553</v>
      </c>
      <c r="H48" s="26" t="s">
        <v>168</v>
      </c>
      <c r="I48" s="27"/>
      <c r="J48" s="27"/>
      <c r="K48" s="25" t="str">
        <f>"300,0"</f>
        <v>300,0</v>
      </c>
      <c r="L48" s="26" t="str">
        <f>"171,9747"</f>
        <v>171,9747</v>
      </c>
      <c r="M48" s="25"/>
    </row>
    <row r="49" spans="1:13">
      <c r="A49" s="29" t="s">
        <v>1385</v>
      </c>
      <c r="B49" s="28" t="s">
        <v>1386</v>
      </c>
      <c r="C49" s="28" t="s">
        <v>1387</v>
      </c>
      <c r="D49" s="28" t="str">
        <f>"0,5391"</f>
        <v>0,5391</v>
      </c>
      <c r="E49" s="29" t="s">
        <v>750</v>
      </c>
      <c r="F49" s="29" t="s">
        <v>95</v>
      </c>
      <c r="G49" s="28" t="s">
        <v>141</v>
      </c>
      <c r="H49" s="28" t="s">
        <v>810</v>
      </c>
      <c r="I49" s="28" t="s">
        <v>198</v>
      </c>
      <c r="J49" s="30"/>
      <c r="K49" s="29" t="str">
        <f>"270,0"</f>
        <v>270,0</v>
      </c>
      <c r="L49" s="28" t="str">
        <f>"153,5769"</f>
        <v>153,5769</v>
      </c>
      <c r="M49" s="29"/>
    </row>
    <row r="51" spans="1:13" ht="15">
      <c r="E51" s="12" t="s">
        <v>64</v>
      </c>
    </row>
    <row r="52" spans="1:13" ht="15">
      <c r="E52" s="12" t="s">
        <v>65</v>
      </c>
    </row>
    <row r="53" spans="1:13" ht="15">
      <c r="E53" s="12" t="s">
        <v>66</v>
      </c>
    </row>
    <row r="54" spans="1:13">
      <c r="E54" s="4" t="s">
        <v>67</v>
      </c>
    </row>
    <row r="55" spans="1:13">
      <c r="E55" s="4" t="s">
        <v>68</v>
      </c>
    </row>
    <row r="56" spans="1:13">
      <c r="E56" s="4" t="s">
        <v>69</v>
      </c>
    </row>
    <row r="59" spans="1:13" ht="18">
      <c r="A59" s="13" t="s">
        <v>70</v>
      </c>
      <c r="B59" s="14"/>
    </row>
    <row r="60" spans="1:13" ht="15">
      <c r="A60" s="15" t="s">
        <v>71</v>
      </c>
      <c r="B60" s="16"/>
    </row>
    <row r="61" spans="1:13" ht="14.25">
      <c r="A61" s="18"/>
      <c r="B61" s="19" t="s">
        <v>80</v>
      </c>
    </row>
    <row r="62" spans="1:13" ht="15">
      <c r="A62" s="20" t="s">
        <v>0</v>
      </c>
      <c r="B62" s="20" t="s">
        <v>73</v>
      </c>
      <c r="C62" s="20" t="s">
        <v>74</v>
      </c>
      <c r="D62" s="20" t="s">
        <v>75</v>
      </c>
      <c r="E62" s="20" t="s">
        <v>11</v>
      </c>
    </row>
    <row r="63" spans="1:13">
      <c r="A63" s="17" t="s">
        <v>317</v>
      </c>
      <c r="B63" s="5" t="s">
        <v>80</v>
      </c>
      <c r="C63" s="5" t="s">
        <v>229</v>
      </c>
      <c r="D63" s="5" t="s">
        <v>401</v>
      </c>
      <c r="E63" s="21" t="s">
        <v>1388</v>
      </c>
    </row>
    <row r="64" spans="1:13">
      <c r="A64" s="17" t="s">
        <v>1338</v>
      </c>
      <c r="B64" s="5" t="s">
        <v>80</v>
      </c>
      <c r="C64" s="5" t="s">
        <v>77</v>
      </c>
      <c r="D64" s="5" t="s">
        <v>149</v>
      </c>
      <c r="E64" s="21" t="s">
        <v>1389</v>
      </c>
    </row>
    <row r="66" spans="1:5" ht="14.25">
      <c r="A66" s="18"/>
      <c r="B66" s="19" t="s">
        <v>206</v>
      </c>
    </row>
    <row r="67" spans="1:5" ht="15">
      <c r="A67" s="20" t="s">
        <v>0</v>
      </c>
      <c r="B67" s="20" t="s">
        <v>73</v>
      </c>
      <c r="C67" s="20" t="s">
        <v>74</v>
      </c>
      <c r="D67" s="20" t="s">
        <v>75</v>
      </c>
      <c r="E67" s="20" t="s">
        <v>11</v>
      </c>
    </row>
    <row r="68" spans="1:5">
      <c r="A68" s="17" t="s">
        <v>317</v>
      </c>
      <c r="B68" s="5" t="s">
        <v>207</v>
      </c>
      <c r="C68" s="5" t="s">
        <v>229</v>
      </c>
      <c r="D68" s="5" t="s">
        <v>401</v>
      </c>
      <c r="E68" s="21" t="s">
        <v>1390</v>
      </c>
    </row>
    <row r="69" spans="1:5">
      <c r="A69" s="17" t="s">
        <v>1335</v>
      </c>
      <c r="B69" s="5" t="s">
        <v>238</v>
      </c>
      <c r="C69" s="5" t="s">
        <v>457</v>
      </c>
      <c r="D69" s="5" t="s">
        <v>63</v>
      </c>
      <c r="E69" s="21" t="s">
        <v>1391</v>
      </c>
    </row>
    <row r="72" spans="1:5" ht="15">
      <c r="A72" s="15" t="s">
        <v>213</v>
      </c>
      <c r="B72" s="16"/>
    </row>
    <row r="73" spans="1:5" ht="14.25">
      <c r="A73" s="18"/>
      <c r="B73" s="19" t="s">
        <v>214</v>
      </c>
    </row>
    <row r="74" spans="1:5" ht="15">
      <c r="A74" s="20" t="s">
        <v>0</v>
      </c>
      <c r="B74" s="20" t="s">
        <v>73</v>
      </c>
      <c r="C74" s="20" t="s">
        <v>74</v>
      </c>
      <c r="D74" s="20" t="s">
        <v>75</v>
      </c>
      <c r="E74" s="20" t="s">
        <v>11</v>
      </c>
    </row>
    <row r="75" spans="1:5">
      <c r="A75" s="17" t="s">
        <v>130</v>
      </c>
      <c r="B75" s="5" t="s">
        <v>215</v>
      </c>
      <c r="C75" s="5" t="s">
        <v>87</v>
      </c>
      <c r="D75" s="5" t="s">
        <v>604</v>
      </c>
      <c r="E75" s="21" t="s">
        <v>1392</v>
      </c>
    </row>
    <row r="76" spans="1:5">
      <c r="A76" s="17" t="s">
        <v>1341</v>
      </c>
      <c r="B76" s="5" t="s">
        <v>215</v>
      </c>
      <c r="C76" s="5" t="s">
        <v>837</v>
      </c>
      <c r="D76" s="5" t="s">
        <v>96</v>
      </c>
      <c r="E76" s="21" t="s">
        <v>1393</v>
      </c>
    </row>
    <row r="78" spans="1:5" ht="14.25">
      <c r="A78" s="18"/>
      <c r="B78" s="19" t="s">
        <v>72</v>
      </c>
    </row>
    <row r="79" spans="1:5" ht="15">
      <c r="A79" s="20" t="s">
        <v>0</v>
      </c>
      <c r="B79" s="20" t="s">
        <v>73</v>
      </c>
      <c r="C79" s="20" t="s">
        <v>74</v>
      </c>
      <c r="D79" s="20" t="s">
        <v>75</v>
      </c>
      <c r="E79" s="20" t="s">
        <v>11</v>
      </c>
    </row>
    <row r="80" spans="1:5">
      <c r="A80" s="17" t="s">
        <v>162</v>
      </c>
      <c r="B80" s="5" t="s">
        <v>76</v>
      </c>
      <c r="C80" s="5" t="s">
        <v>217</v>
      </c>
      <c r="D80" s="5" t="s">
        <v>1363</v>
      </c>
      <c r="E80" s="21" t="s">
        <v>1394</v>
      </c>
    </row>
    <row r="81" spans="1:5">
      <c r="A81" s="17" t="s">
        <v>1349</v>
      </c>
      <c r="B81" s="5" t="s">
        <v>76</v>
      </c>
      <c r="C81" s="5" t="s">
        <v>455</v>
      </c>
      <c r="D81" s="5" t="s">
        <v>129</v>
      </c>
      <c r="E81" s="21" t="s">
        <v>1395</v>
      </c>
    </row>
    <row r="82" spans="1:5">
      <c r="A82" s="17" t="s">
        <v>185</v>
      </c>
      <c r="B82" s="5" t="s">
        <v>76</v>
      </c>
      <c r="C82" s="5" t="s">
        <v>222</v>
      </c>
      <c r="D82" s="5" t="s">
        <v>85</v>
      </c>
      <c r="E82" s="21" t="s">
        <v>1396</v>
      </c>
    </row>
    <row r="84" spans="1:5" ht="14.25">
      <c r="A84" s="18"/>
      <c r="B84" s="19" t="s">
        <v>80</v>
      </c>
    </row>
    <row r="85" spans="1:5" ht="15">
      <c r="A85" s="20" t="s">
        <v>0</v>
      </c>
      <c r="B85" s="20" t="s">
        <v>73</v>
      </c>
      <c r="C85" s="20" t="s">
        <v>74</v>
      </c>
      <c r="D85" s="20" t="s">
        <v>75</v>
      </c>
      <c r="E85" s="20" t="s">
        <v>11</v>
      </c>
    </row>
    <row r="86" spans="1:5">
      <c r="A86" s="17" t="s">
        <v>1353</v>
      </c>
      <c r="B86" s="5" t="s">
        <v>80</v>
      </c>
      <c r="C86" s="5" t="s">
        <v>229</v>
      </c>
      <c r="D86" s="5" t="s">
        <v>262</v>
      </c>
      <c r="E86" s="21" t="s">
        <v>1397</v>
      </c>
    </row>
    <row r="87" spans="1:5">
      <c r="A87" s="17" t="s">
        <v>1370</v>
      </c>
      <c r="B87" s="5" t="s">
        <v>80</v>
      </c>
      <c r="C87" s="5" t="s">
        <v>527</v>
      </c>
      <c r="D87" s="5" t="s">
        <v>277</v>
      </c>
      <c r="E87" s="21" t="s">
        <v>1398</v>
      </c>
    </row>
    <row r="88" spans="1:5">
      <c r="A88" s="17" t="s">
        <v>193</v>
      </c>
      <c r="B88" s="5" t="s">
        <v>80</v>
      </c>
      <c r="C88" s="5" t="s">
        <v>222</v>
      </c>
      <c r="D88" s="5" t="s">
        <v>553</v>
      </c>
      <c r="E88" s="21" t="s">
        <v>1399</v>
      </c>
    </row>
    <row r="89" spans="1:5">
      <c r="A89" s="17" t="s">
        <v>1364</v>
      </c>
      <c r="B89" s="5" t="s">
        <v>80</v>
      </c>
      <c r="C89" s="5" t="s">
        <v>217</v>
      </c>
      <c r="D89" s="5" t="s">
        <v>167</v>
      </c>
      <c r="E89" s="21" t="s">
        <v>1400</v>
      </c>
    </row>
    <row r="90" spans="1:5">
      <c r="A90" s="17" t="s">
        <v>1357</v>
      </c>
      <c r="B90" s="5" t="s">
        <v>80</v>
      </c>
      <c r="C90" s="5" t="s">
        <v>229</v>
      </c>
      <c r="D90" s="5" t="s">
        <v>143</v>
      </c>
      <c r="E90" s="21" t="s">
        <v>1401</v>
      </c>
    </row>
    <row r="91" spans="1:5">
      <c r="A91" s="17" t="s">
        <v>1346</v>
      </c>
      <c r="B91" s="5" t="s">
        <v>80</v>
      </c>
      <c r="C91" s="5" t="s">
        <v>87</v>
      </c>
      <c r="D91" s="5" t="s">
        <v>169</v>
      </c>
      <c r="E91" s="21" t="s">
        <v>1224</v>
      </c>
    </row>
    <row r="93" spans="1:5" ht="14.25">
      <c r="A93" s="18"/>
      <c r="B93" s="19" t="s">
        <v>206</v>
      </c>
    </row>
    <row r="94" spans="1:5" ht="15">
      <c r="A94" s="20" t="s">
        <v>0</v>
      </c>
      <c r="B94" s="20" t="s">
        <v>73</v>
      </c>
      <c r="C94" s="20" t="s">
        <v>74</v>
      </c>
      <c r="D94" s="20" t="s">
        <v>75</v>
      </c>
      <c r="E94" s="20" t="s">
        <v>11</v>
      </c>
    </row>
    <row r="95" spans="1:5">
      <c r="A95" s="17" t="s">
        <v>372</v>
      </c>
      <c r="B95" s="5" t="s">
        <v>482</v>
      </c>
      <c r="C95" s="5" t="s">
        <v>229</v>
      </c>
      <c r="D95" s="5" t="s">
        <v>119</v>
      </c>
      <c r="E95" s="21" t="s">
        <v>1402</v>
      </c>
    </row>
    <row r="96" spans="1:5">
      <c r="A96" s="17" t="s">
        <v>1353</v>
      </c>
      <c r="B96" s="5" t="s">
        <v>241</v>
      </c>
      <c r="C96" s="5" t="s">
        <v>229</v>
      </c>
      <c r="D96" s="5" t="s">
        <v>262</v>
      </c>
      <c r="E96" s="21" t="s">
        <v>1403</v>
      </c>
    </row>
    <row r="97" spans="1:5">
      <c r="A97" s="17" t="s">
        <v>1379</v>
      </c>
      <c r="B97" s="5" t="s">
        <v>210</v>
      </c>
      <c r="C97" s="5" t="s">
        <v>527</v>
      </c>
      <c r="D97" s="5" t="s">
        <v>168</v>
      </c>
      <c r="E97" s="21" t="s">
        <v>1404</v>
      </c>
    </row>
    <row r="98" spans="1:5">
      <c r="A98" s="17" t="s">
        <v>193</v>
      </c>
      <c r="B98" s="5" t="s">
        <v>241</v>
      </c>
      <c r="C98" s="5" t="s">
        <v>222</v>
      </c>
      <c r="D98" s="5" t="s">
        <v>553</v>
      </c>
      <c r="E98" s="21" t="s">
        <v>1405</v>
      </c>
    </row>
    <row r="99" spans="1:5">
      <c r="A99" s="17" t="s">
        <v>1384</v>
      </c>
      <c r="B99" s="5" t="s">
        <v>210</v>
      </c>
      <c r="C99" s="5" t="s">
        <v>527</v>
      </c>
      <c r="D99" s="5" t="s">
        <v>198</v>
      </c>
      <c r="E99" s="21" t="s">
        <v>1406</v>
      </c>
    </row>
    <row r="100" spans="1:5">
      <c r="A100" s="17" t="s">
        <v>1375</v>
      </c>
      <c r="B100" s="5" t="s">
        <v>241</v>
      </c>
      <c r="C100" s="5" t="s">
        <v>527</v>
      </c>
      <c r="D100" s="5" t="s">
        <v>167</v>
      </c>
      <c r="E100" s="21" t="s">
        <v>1407</v>
      </c>
    </row>
    <row r="101" spans="1:5">
      <c r="A101" s="17" t="s">
        <v>346</v>
      </c>
      <c r="B101" s="5" t="s">
        <v>210</v>
      </c>
      <c r="C101" s="5" t="s">
        <v>455</v>
      </c>
      <c r="D101" s="5" t="s">
        <v>119</v>
      </c>
      <c r="E101" s="21" t="s">
        <v>1408</v>
      </c>
    </row>
    <row r="102" spans="1:5">
      <c r="A102" s="17" t="s">
        <v>157</v>
      </c>
      <c r="B102" s="5" t="s">
        <v>241</v>
      </c>
      <c r="C102" s="5" t="s">
        <v>229</v>
      </c>
      <c r="D102" s="5" t="s">
        <v>117</v>
      </c>
      <c r="E102" s="21" t="s">
        <v>1409</v>
      </c>
    </row>
  </sheetData>
  <mergeCells count="22">
    <mergeCell ref="A40:L40"/>
    <mergeCell ref="A45:L45"/>
    <mergeCell ref="A14:L14"/>
    <mergeCell ref="A18:L18"/>
    <mergeCell ref="A21:L21"/>
    <mergeCell ref="A25:L25"/>
    <mergeCell ref="A29:L29"/>
    <mergeCell ref="A36:L36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1708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3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161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1324</v>
      </c>
      <c r="B6" s="10" t="s">
        <v>1325</v>
      </c>
      <c r="C6" s="10" t="s">
        <v>771</v>
      </c>
      <c r="D6" s="10" t="str">
        <f>"0,5840"</f>
        <v>0,5840</v>
      </c>
      <c r="E6" s="9" t="s">
        <v>18</v>
      </c>
      <c r="F6" s="9" t="s">
        <v>95</v>
      </c>
      <c r="G6" s="10" t="s">
        <v>810</v>
      </c>
      <c r="H6" s="10" t="s">
        <v>262</v>
      </c>
      <c r="I6" s="11" t="s">
        <v>167</v>
      </c>
      <c r="J6" s="11"/>
      <c r="K6" s="9" t="str">
        <f>"275,0"</f>
        <v>275,0</v>
      </c>
      <c r="L6" s="10" t="str">
        <f>"160,6137"</f>
        <v>160,6137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184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9" t="s">
        <v>1265</v>
      </c>
      <c r="B9" s="10" t="s">
        <v>1266</v>
      </c>
      <c r="C9" s="10" t="s">
        <v>1267</v>
      </c>
      <c r="D9" s="10" t="str">
        <f>"0,5666"</f>
        <v>0,5666</v>
      </c>
      <c r="E9" s="9" t="s">
        <v>18</v>
      </c>
      <c r="F9" s="9" t="s">
        <v>177</v>
      </c>
      <c r="G9" s="10" t="s">
        <v>85</v>
      </c>
      <c r="H9" s="10" t="s">
        <v>143</v>
      </c>
      <c r="I9" s="11" t="s">
        <v>141</v>
      </c>
      <c r="J9" s="11"/>
      <c r="K9" s="9" t="str">
        <f>"230,0"</f>
        <v>230,0</v>
      </c>
      <c r="L9" s="10" t="str">
        <f>"130,3295"</f>
        <v>130,3295</v>
      </c>
      <c r="M9" s="9"/>
    </row>
    <row r="11" spans="1:13" ht="15">
      <c r="A11" s="47" t="s">
        <v>421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22" t="s">
        <v>1327</v>
      </c>
      <c r="B12" s="23" t="s">
        <v>1328</v>
      </c>
      <c r="C12" s="23" t="s">
        <v>1155</v>
      </c>
      <c r="D12" s="23" t="str">
        <f>"0,5477"</f>
        <v>0,5477</v>
      </c>
      <c r="E12" s="22" t="s">
        <v>18</v>
      </c>
      <c r="F12" s="22" t="s">
        <v>275</v>
      </c>
      <c r="G12" s="23" t="s">
        <v>841</v>
      </c>
      <c r="H12" s="23" t="s">
        <v>724</v>
      </c>
      <c r="I12" s="23" t="s">
        <v>1329</v>
      </c>
      <c r="J12" s="24"/>
      <c r="K12" s="22" t="str">
        <f>"372,5"</f>
        <v>372,5</v>
      </c>
      <c r="L12" s="23" t="str">
        <f>"204,0369"</f>
        <v>204,0369</v>
      </c>
      <c r="M12" s="22"/>
    </row>
    <row r="13" spans="1:13">
      <c r="A13" s="29" t="s">
        <v>1327</v>
      </c>
      <c r="B13" s="28" t="s">
        <v>1330</v>
      </c>
      <c r="C13" s="28" t="s">
        <v>1155</v>
      </c>
      <c r="D13" s="28" t="str">
        <f>"0,5477"</f>
        <v>0,5477</v>
      </c>
      <c r="E13" s="29" t="s">
        <v>18</v>
      </c>
      <c r="F13" s="29" t="s">
        <v>275</v>
      </c>
      <c r="G13" s="28" t="s">
        <v>841</v>
      </c>
      <c r="H13" s="28" t="s">
        <v>724</v>
      </c>
      <c r="I13" s="28" t="s">
        <v>1329</v>
      </c>
      <c r="J13" s="30"/>
      <c r="K13" s="29" t="str">
        <f>"372,5"</f>
        <v>372,5</v>
      </c>
      <c r="L13" s="28" t="str">
        <f>"241,5797"</f>
        <v>241,5797</v>
      </c>
      <c r="M13" s="29"/>
    </row>
    <row r="15" spans="1:13" ht="15">
      <c r="E15" s="12" t="s">
        <v>64</v>
      </c>
    </row>
    <row r="16" spans="1:13" ht="15">
      <c r="E16" s="12" t="s">
        <v>65</v>
      </c>
    </row>
    <row r="17" spans="1:5" ht="15">
      <c r="E17" s="12" t="s">
        <v>66</v>
      </c>
    </row>
    <row r="18" spans="1:5">
      <c r="E18" s="4" t="s">
        <v>67</v>
      </c>
    </row>
    <row r="19" spans="1:5">
      <c r="E19" s="4" t="s">
        <v>68</v>
      </c>
    </row>
    <row r="20" spans="1:5">
      <c r="E20" s="4" t="s">
        <v>69</v>
      </c>
    </row>
    <row r="23" spans="1:5" ht="18">
      <c r="A23" s="13" t="s">
        <v>70</v>
      </c>
      <c r="B23" s="14"/>
    </row>
    <row r="24" spans="1:5" ht="15">
      <c r="A24" s="15" t="s">
        <v>213</v>
      </c>
      <c r="B24" s="16"/>
    </row>
    <row r="25" spans="1:5" ht="14.25">
      <c r="A25" s="18"/>
      <c r="B25" s="19" t="s">
        <v>80</v>
      </c>
    </row>
    <row r="26" spans="1:5" ht="15">
      <c r="A26" s="20" t="s">
        <v>0</v>
      </c>
      <c r="B26" s="20" t="s">
        <v>73</v>
      </c>
      <c r="C26" s="20" t="s">
        <v>74</v>
      </c>
      <c r="D26" s="20" t="s">
        <v>75</v>
      </c>
      <c r="E26" s="20" t="s">
        <v>11</v>
      </c>
    </row>
    <row r="27" spans="1:5">
      <c r="A27" s="17" t="s">
        <v>1326</v>
      </c>
      <c r="B27" s="5" t="s">
        <v>80</v>
      </c>
      <c r="C27" s="5" t="s">
        <v>468</v>
      </c>
      <c r="D27" s="5" t="s">
        <v>1329</v>
      </c>
      <c r="E27" s="21" t="s">
        <v>1331</v>
      </c>
    </row>
    <row r="28" spans="1:5">
      <c r="A28" s="17" t="s">
        <v>1323</v>
      </c>
      <c r="B28" s="5" t="s">
        <v>80</v>
      </c>
      <c r="C28" s="5" t="s">
        <v>217</v>
      </c>
      <c r="D28" s="5" t="s">
        <v>262</v>
      </c>
      <c r="E28" s="21" t="s">
        <v>1332</v>
      </c>
    </row>
    <row r="29" spans="1:5">
      <c r="A29" s="17" t="s">
        <v>1264</v>
      </c>
      <c r="B29" s="5" t="s">
        <v>80</v>
      </c>
      <c r="C29" s="5" t="s">
        <v>222</v>
      </c>
      <c r="D29" s="5" t="s">
        <v>143</v>
      </c>
      <c r="E29" s="21" t="s">
        <v>1333</v>
      </c>
    </row>
    <row r="31" spans="1:5" ht="14.25">
      <c r="A31" s="18"/>
      <c r="B31" s="19" t="s">
        <v>206</v>
      </c>
    </row>
    <row r="32" spans="1:5" ht="15">
      <c r="A32" s="20" t="s">
        <v>0</v>
      </c>
      <c r="B32" s="20" t="s">
        <v>73</v>
      </c>
      <c r="C32" s="20" t="s">
        <v>74</v>
      </c>
      <c r="D32" s="20" t="s">
        <v>75</v>
      </c>
      <c r="E32" s="20" t="s">
        <v>11</v>
      </c>
    </row>
    <row r="33" spans="1:5">
      <c r="A33" s="17" t="s">
        <v>1326</v>
      </c>
      <c r="B33" s="5" t="s">
        <v>207</v>
      </c>
      <c r="C33" s="5" t="s">
        <v>468</v>
      </c>
      <c r="D33" s="5" t="s">
        <v>1329</v>
      </c>
      <c r="E33" s="21" t="s">
        <v>1334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1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8.140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13.28515625" style="4" bestFit="1" customWidth="1"/>
    <col min="14" max="16384" width="9.140625" style="3"/>
  </cols>
  <sheetData>
    <row r="1" spans="1:13" s="2" customFormat="1" ht="29.1" customHeight="1">
      <c r="A1" s="33" t="s">
        <v>1707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3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1272</v>
      </c>
      <c r="B6" s="10" t="s">
        <v>1273</v>
      </c>
      <c r="C6" s="10" t="s">
        <v>585</v>
      </c>
      <c r="D6" s="10" t="str">
        <f>"1,1809"</f>
        <v>1,1809</v>
      </c>
      <c r="E6" s="9" t="s">
        <v>18</v>
      </c>
      <c r="F6" s="9" t="s">
        <v>95</v>
      </c>
      <c r="G6" s="10" t="s">
        <v>591</v>
      </c>
      <c r="H6" s="10" t="s">
        <v>294</v>
      </c>
      <c r="I6" s="10" t="s">
        <v>62</v>
      </c>
      <c r="J6" s="11" t="s">
        <v>134</v>
      </c>
      <c r="K6" s="9" t="str">
        <f>"65,0"</f>
        <v>65,0</v>
      </c>
      <c r="L6" s="10" t="str">
        <f>"76,7585"</f>
        <v>76,7585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288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9" t="s">
        <v>1275</v>
      </c>
      <c r="B9" s="10" t="s">
        <v>1276</v>
      </c>
      <c r="C9" s="10" t="s">
        <v>292</v>
      </c>
      <c r="D9" s="10" t="str">
        <f>"1,0530"</f>
        <v>1,0530</v>
      </c>
      <c r="E9" s="9" t="s">
        <v>18</v>
      </c>
      <c r="F9" s="9" t="s">
        <v>275</v>
      </c>
      <c r="G9" s="11" t="s">
        <v>103</v>
      </c>
      <c r="H9" s="10" t="s">
        <v>103</v>
      </c>
      <c r="I9" s="11" t="s">
        <v>96</v>
      </c>
      <c r="J9" s="11"/>
      <c r="K9" s="9" t="str">
        <f>"70,0"</f>
        <v>70,0</v>
      </c>
      <c r="L9" s="10" t="str">
        <f>"73,7100"</f>
        <v>73,7100</v>
      </c>
      <c r="M9" s="9"/>
    </row>
    <row r="11" spans="1:13" ht="15">
      <c r="A11" s="47" t="s">
        <v>27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9" t="s">
        <v>1278</v>
      </c>
      <c r="B12" s="10" t="s">
        <v>1279</v>
      </c>
      <c r="C12" s="10" t="s">
        <v>31</v>
      </c>
      <c r="D12" s="10" t="str">
        <f>"0,9916"</f>
        <v>0,9916</v>
      </c>
      <c r="E12" s="9" t="s">
        <v>18</v>
      </c>
      <c r="F12" s="9" t="s">
        <v>95</v>
      </c>
      <c r="G12" s="11" t="s">
        <v>34</v>
      </c>
      <c r="H12" s="11" t="s">
        <v>34</v>
      </c>
      <c r="I12" s="10" t="s">
        <v>34</v>
      </c>
      <c r="J12" s="11"/>
      <c r="K12" s="9" t="str">
        <f>"85,0"</f>
        <v>85,0</v>
      </c>
      <c r="L12" s="10" t="str">
        <f>"84,2860"</f>
        <v>84,2860</v>
      </c>
      <c r="M12" s="9"/>
    </row>
    <row r="14" spans="1:13" ht="15">
      <c r="A14" s="47" t="s">
        <v>41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>
      <c r="A15" s="22" t="s">
        <v>1281</v>
      </c>
      <c r="B15" s="23" t="s">
        <v>1282</v>
      </c>
      <c r="C15" s="23" t="s">
        <v>1283</v>
      </c>
      <c r="D15" s="23" t="str">
        <f>"0,9334"</f>
        <v>0,9334</v>
      </c>
      <c r="E15" s="22" t="s">
        <v>433</v>
      </c>
      <c r="F15" s="22" t="s">
        <v>95</v>
      </c>
      <c r="G15" s="23" t="s">
        <v>134</v>
      </c>
      <c r="H15" s="24" t="s">
        <v>337</v>
      </c>
      <c r="I15" s="24" t="s">
        <v>20</v>
      </c>
      <c r="J15" s="24"/>
      <c r="K15" s="22" t="str">
        <f>"67,5"</f>
        <v>67,5</v>
      </c>
      <c r="L15" s="23" t="str">
        <f>"63,0079"</f>
        <v>63,0079</v>
      </c>
      <c r="M15" s="22"/>
    </row>
    <row r="16" spans="1:13">
      <c r="A16" s="29" t="s">
        <v>1285</v>
      </c>
      <c r="B16" s="28" t="s">
        <v>1286</v>
      </c>
      <c r="C16" s="28" t="s">
        <v>1287</v>
      </c>
      <c r="D16" s="28" t="str">
        <f>"0,9300"</f>
        <v>0,9300</v>
      </c>
      <c r="E16" s="29" t="s">
        <v>433</v>
      </c>
      <c r="F16" s="29" t="s">
        <v>95</v>
      </c>
      <c r="G16" s="28" t="s">
        <v>61</v>
      </c>
      <c r="H16" s="30" t="s">
        <v>103</v>
      </c>
      <c r="I16" s="30" t="s">
        <v>20</v>
      </c>
      <c r="J16" s="30"/>
      <c r="K16" s="29" t="str">
        <f>"60,0"</f>
        <v>60,0</v>
      </c>
      <c r="L16" s="28" t="str">
        <f>"55,8000"</f>
        <v>55,8000</v>
      </c>
      <c r="M16" s="29"/>
    </row>
    <row r="18" spans="1:13" ht="15">
      <c r="A18" s="47" t="s">
        <v>767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3">
      <c r="A19" s="9" t="s">
        <v>1289</v>
      </c>
      <c r="B19" s="10" t="s">
        <v>1290</v>
      </c>
      <c r="C19" s="10" t="s">
        <v>1291</v>
      </c>
      <c r="D19" s="10" t="str">
        <f>"0,7129"</f>
        <v>0,7129</v>
      </c>
      <c r="E19" s="9" t="s">
        <v>18</v>
      </c>
      <c r="F19" s="9" t="s">
        <v>275</v>
      </c>
      <c r="G19" s="10" t="s">
        <v>112</v>
      </c>
      <c r="H19" s="10" t="s">
        <v>63</v>
      </c>
      <c r="I19" s="11" t="s">
        <v>25</v>
      </c>
      <c r="J19" s="11"/>
      <c r="K19" s="9" t="str">
        <f>"100,0"</f>
        <v>100,0</v>
      </c>
      <c r="L19" s="10" t="str">
        <f>"71,2900"</f>
        <v>71,2900</v>
      </c>
      <c r="M19" s="9"/>
    </row>
    <row r="21" spans="1:13" ht="15">
      <c r="A21" s="47" t="s">
        <v>54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3">
      <c r="A22" s="9" t="s">
        <v>1293</v>
      </c>
      <c r="B22" s="10" t="s">
        <v>1294</v>
      </c>
      <c r="C22" s="10" t="s">
        <v>302</v>
      </c>
      <c r="D22" s="10" t="str">
        <f>"0,6940"</f>
        <v>0,6940</v>
      </c>
      <c r="E22" s="9" t="s">
        <v>341</v>
      </c>
      <c r="F22" s="9" t="s">
        <v>415</v>
      </c>
      <c r="G22" s="11" t="s">
        <v>250</v>
      </c>
      <c r="H22" s="10" t="s">
        <v>250</v>
      </c>
      <c r="I22" s="10" t="s">
        <v>117</v>
      </c>
      <c r="J22" s="11"/>
      <c r="K22" s="9" t="str">
        <f>"170,0"</f>
        <v>170,0</v>
      </c>
      <c r="L22" s="10" t="str">
        <f>"117,9800"</f>
        <v>117,9800</v>
      </c>
      <c r="M22" s="9"/>
    </row>
    <row r="24" spans="1:13" ht="15">
      <c r="A24" s="47" t="s">
        <v>305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3">
      <c r="A25" s="22" t="s">
        <v>1296</v>
      </c>
      <c r="B25" s="23" t="s">
        <v>1297</v>
      </c>
      <c r="C25" s="23" t="s">
        <v>636</v>
      </c>
      <c r="D25" s="23" t="str">
        <f>"0,6471"</f>
        <v>0,6471</v>
      </c>
      <c r="E25" s="22" t="s">
        <v>433</v>
      </c>
      <c r="F25" s="22" t="s">
        <v>95</v>
      </c>
      <c r="G25" s="24" t="s">
        <v>124</v>
      </c>
      <c r="H25" s="23" t="s">
        <v>124</v>
      </c>
      <c r="I25" s="24" t="s">
        <v>416</v>
      </c>
      <c r="J25" s="24"/>
      <c r="K25" s="22" t="str">
        <f>"160,0"</f>
        <v>160,0</v>
      </c>
      <c r="L25" s="23" t="str">
        <f>"103,5440"</f>
        <v>103,5440</v>
      </c>
      <c r="M25" s="22"/>
    </row>
    <row r="26" spans="1:13">
      <c r="A26" s="29" t="s">
        <v>1028</v>
      </c>
      <c r="B26" s="28" t="s">
        <v>1029</v>
      </c>
      <c r="C26" s="28" t="s">
        <v>636</v>
      </c>
      <c r="D26" s="28" t="str">
        <f>"0,6471"</f>
        <v>0,6471</v>
      </c>
      <c r="E26" s="29" t="s">
        <v>18</v>
      </c>
      <c r="F26" s="29" t="s">
        <v>1030</v>
      </c>
      <c r="G26" s="28" t="s">
        <v>156</v>
      </c>
      <c r="H26" s="28" t="s">
        <v>128</v>
      </c>
      <c r="I26" s="28" t="s">
        <v>150</v>
      </c>
      <c r="J26" s="30"/>
      <c r="K26" s="29" t="str">
        <f>"210,0"</f>
        <v>210,0</v>
      </c>
      <c r="L26" s="28" t="str">
        <f>"137,2605"</f>
        <v>137,2605</v>
      </c>
      <c r="M26" s="29"/>
    </row>
    <row r="28" spans="1:13" ht="15">
      <c r="A28" s="47" t="s">
        <v>144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3">
      <c r="A29" s="9" t="s">
        <v>1299</v>
      </c>
      <c r="B29" s="10" t="s">
        <v>1300</v>
      </c>
      <c r="C29" s="10" t="s">
        <v>1301</v>
      </c>
      <c r="D29" s="10" t="str">
        <f>"0,6416"</f>
        <v>0,6416</v>
      </c>
      <c r="E29" s="9" t="s">
        <v>18</v>
      </c>
      <c r="F29" s="9" t="s">
        <v>95</v>
      </c>
      <c r="G29" s="11" t="s">
        <v>169</v>
      </c>
      <c r="H29" s="11" t="s">
        <v>169</v>
      </c>
      <c r="I29" s="10" t="s">
        <v>169</v>
      </c>
      <c r="J29" s="11"/>
      <c r="K29" s="9" t="str">
        <f>"145,0"</f>
        <v>145,0</v>
      </c>
      <c r="L29" s="10" t="str">
        <f>"93,0320"</f>
        <v>93,0320</v>
      </c>
      <c r="M29" s="9"/>
    </row>
    <row r="31" spans="1:13" ht="15">
      <c r="A31" s="47" t="s">
        <v>161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3">
      <c r="A32" s="9" t="s">
        <v>1303</v>
      </c>
      <c r="B32" s="10" t="s">
        <v>1304</v>
      </c>
      <c r="C32" s="10" t="s">
        <v>1305</v>
      </c>
      <c r="D32" s="10" t="str">
        <f>"0,6075"</f>
        <v>0,6075</v>
      </c>
      <c r="E32" s="9" t="s">
        <v>433</v>
      </c>
      <c r="F32" s="9" t="s">
        <v>95</v>
      </c>
      <c r="G32" s="10" t="s">
        <v>118</v>
      </c>
      <c r="H32" s="10" t="s">
        <v>119</v>
      </c>
      <c r="I32" s="10" t="s">
        <v>85</v>
      </c>
      <c r="J32" s="11"/>
      <c r="K32" s="9" t="str">
        <f>"220,0"</f>
        <v>220,0</v>
      </c>
      <c r="L32" s="10" t="str">
        <f>"133,6500"</f>
        <v>133,6500</v>
      </c>
      <c r="M32" s="9" t="s">
        <v>1306</v>
      </c>
    </row>
    <row r="34" spans="1:13" ht="15">
      <c r="A34" s="47" t="s">
        <v>184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3">
      <c r="A35" s="9" t="s">
        <v>1308</v>
      </c>
      <c r="B35" s="10" t="s">
        <v>1309</v>
      </c>
      <c r="C35" s="10" t="s">
        <v>1310</v>
      </c>
      <c r="D35" s="10" t="str">
        <f>"0,5652"</f>
        <v>0,5652</v>
      </c>
      <c r="E35" s="9" t="s">
        <v>18</v>
      </c>
      <c r="F35" s="9" t="s">
        <v>1311</v>
      </c>
      <c r="G35" s="10" t="s">
        <v>149</v>
      </c>
      <c r="H35" s="11" t="s">
        <v>208</v>
      </c>
      <c r="I35" s="10" t="s">
        <v>208</v>
      </c>
      <c r="J35" s="11"/>
      <c r="K35" s="9" t="str">
        <f>"212,5"</f>
        <v>212,5</v>
      </c>
      <c r="L35" s="10" t="str">
        <f>"120,1050"</f>
        <v>120,1050</v>
      </c>
      <c r="M35" s="9"/>
    </row>
    <row r="37" spans="1:13" ht="15">
      <c r="E37" s="12" t="s">
        <v>64</v>
      </c>
    </row>
    <row r="38" spans="1:13" ht="15">
      <c r="E38" s="12" t="s">
        <v>65</v>
      </c>
    </row>
    <row r="39" spans="1:13" ht="15">
      <c r="E39" s="12" t="s">
        <v>66</v>
      </c>
    </row>
    <row r="40" spans="1:13">
      <c r="E40" s="4" t="s">
        <v>67</v>
      </c>
    </row>
    <row r="41" spans="1:13">
      <c r="E41" s="4" t="s">
        <v>68</v>
      </c>
    </row>
    <row r="42" spans="1:13">
      <c r="E42" s="4" t="s">
        <v>69</v>
      </c>
    </row>
    <row r="45" spans="1:13" ht="18">
      <c r="A45" s="13" t="s">
        <v>70</v>
      </c>
      <c r="B45" s="14"/>
    </row>
    <row r="46" spans="1:13" ht="15">
      <c r="A46" s="15" t="s">
        <v>71</v>
      </c>
      <c r="B46" s="16"/>
    </row>
    <row r="47" spans="1:13" ht="14.25">
      <c r="A47" s="18"/>
      <c r="B47" s="19" t="s">
        <v>214</v>
      </c>
    </row>
    <row r="48" spans="1:13" ht="15">
      <c r="A48" s="20" t="s">
        <v>0</v>
      </c>
      <c r="B48" s="20" t="s">
        <v>73</v>
      </c>
      <c r="C48" s="20" t="s">
        <v>74</v>
      </c>
      <c r="D48" s="20" t="s">
        <v>75</v>
      </c>
      <c r="E48" s="20" t="s">
        <v>11</v>
      </c>
    </row>
    <row r="49" spans="1:5">
      <c r="A49" s="17" t="s">
        <v>1280</v>
      </c>
      <c r="B49" s="5" t="s">
        <v>701</v>
      </c>
      <c r="C49" s="5" t="s">
        <v>77</v>
      </c>
      <c r="D49" s="5" t="s">
        <v>134</v>
      </c>
      <c r="E49" s="21" t="s">
        <v>1312</v>
      </c>
    </row>
    <row r="51" spans="1:5" ht="14.25">
      <c r="A51" s="18"/>
      <c r="B51" s="19" t="s">
        <v>80</v>
      </c>
    </row>
    <row r="52" spans="1:5" ht="15">
      <c r="A52" s="20" t="s">
        <v>0</v>
      </c>
      <c r="B52" s="20" t="s">
        <v>73</v>
      </c>
      <c r="C52" s="20" t="s">
        <v>74</v>
      </c>
      <c r="D52" s="20" t="s">
        <v>75</v>
      </c>
      <c r="E52" s="20" t="s">
        <v>11</v>
      </c>
    </row>
    <row r="53" spans="1:5">
      <c r="A53" s="17" t="s">
        <v>1277</v>
      </c>
      <c r="B53" s="5" t="s">
        <v>80</v>
      </c>
      <c r="C53" s="5" t="s">
        <v>81</v>
      </c>
      <c r="D53" s="5" t="s">
        <v>34</v>
      </c>
      <c r="E53" s="21" t="s">
        <v>1313</v>
      </c>
    </row>
    <row r="54" spans="1:5">
      <c r="A54" s="17" t="s">
        <v>1271</v>
      </c>
      <c r="B54" s="5" t="s">
        <v>80</v>
      </c>
      <c r="C54" s="5" t="s">
        <v>84</v>
      </c>
      <c r="D54" s="5" t="s">
        <v>62</v>
      </c>
      <c r="E54" s="21" t="s">
        <v>1314</v>
      </c>
    </row>
    <row r="55" spans="1:5">
      <c r="A55" s="17" t="s">
        <v>1274</v>
      </c>
      <c r="B55" s="5" t="s">
        <v>80</v>
      </c>
      <c r="C55" s="5" t="s">
        <v>457</v>
      </c>
      <c r="D55" s="5" t="s">
        <v>103</v>
      </c>
      <c r="E55" s="21" t="s">
        <v>1193</v>
      </c>
    </row>
    <row r="56" spans="1:5">
      <c r="A56" s="17" t="s">
        <v>1288</v>
      </c>
      <c r="B56" s="5" t="s">
        <v>80</v>
      </c>
      <c r="C56" s="5" t="s">
        <v>844</v>
      </c>
      <c r="D56" s="5" t="s">
        <v>63</v>
      </c>
      <c r="E56" s="21" t="s">
        <v>1315</v>
      </c>
    </row>
    <row r="57" spans="1:5">
      <c r="A57" s="17" t="s">
        <v>1284</v>
      </c>
      <c r="B57" s="5" t="s">
        <v>80</v>
      </c>
      <c r="C57" s="5" t="s">
        <v>77</v>
      </c>
      <c r="D57" s="5" t="s">
        <v>61</v>
      </c>
      <c r="E57" s="21" t="s">
        <v>1316</v>
      </c>
    </row>
    <row r="60" spans="1:5" ht="15">
      <c r="A60" s="15" t="s">
        <v>213</v>
      </c>
      <c r="B60" s="16"/>
    </row>
    <row r="61" spans="1:5" ht="14.25">
      <c r="A61" s="18"/>
      <c r="B61" s="19" t="s">
        <v>80</v>
      </c>
    </row>
    <row r="62" spans="1:5" ht="15">
      <c r="A62" s="20" t="s">
        <v>0</v>
      </c>
      <c r="B62" s="20" t="s">
        <v>73</v>
      </c>
      <c r="C62" s="20" t="s">
        <v>74</v>
      </c>
      <c r="D62" s="20" t="s">
        <v>75</v>
      </c>
      <c r="E62" s="20" t="s">
        <v>11</v>
      </c>
    </row>
    <row r="63" spans="1:5">
      <c r="A63" s="17" t="s">
        <v>1302</v>
      </c>
      <c r="B63" s="5" t="s">
        <v>80</v>
      </c>
      <c r="C63" s="5" t="s">
        <v>217</v>
      </c>
      <c r="D63" s="5" t="s">
        <v>85</v>
      </c>
      <c r="E63" s="21" t="s">
        <v>1317</v>
      </c>
    </row>
    <row r="64" spans="1:5">
      <c r="A64" s="17" t="s">
        <v>1307</v>
      </c>
      <c r="B64" s="5" t="s">
        <v>80</v>
      </c>
      <c r="C64" s="5" t="s">
        <v>222</v>
      </c>
      <c r="D64" s="5" t="s">
        <v>208</v>
      </c>
      <c r="E64" s="21" t="s">
        <v>1318</v>
      </c>
    </row>
    <row r="65" spans="1:5">
      <c r="A65" s="17" t="s">
        <v>1292</v>
      </c>
      <c r="B65" s="5" t="s">
        <v>80</v>
      </c>
      <c r="C65" s="5" t="s">
        <v>87</v>
      </c>
      <c r="D65" s="5" t="s">
        <v>117</v>
      </c>
      <c r="E65" s="21" t="s">
        <v>1319</v>
      </c>
    </row>
    <row r="66" spans="1:5">
      <c r="A66" s="17" t="s">
        <v>1295</v>
      </c>
      <c r="B66" s="5" t="s">
        <v>80</v>
      </c>
      <c r="C66" s="5" t="s">
        <v>455</v>
      </c>
      <c r="D66" s="5" t="s">
        <v>124</v>
      </c>
      <c r="E66" s="21" t="s">
        <v>1320</v>
      </c>
    </row>
    <row r="67" spans="1:5">
      <c r="A67" s="17" t="s">
        <v>1298</v>
      </c>
      <c r="B67" s="5" t="s">
        <v>80</v>
      </c>
      <c r="C67" s="5" t="s">
        <v>229</v>
      </c>
      <c r="D67" s="5" t="s">
        <v>169</v>
      </c>
      <c r="E67" s="21" t="s">
        <v>1321</v>
      </c>
    </row>
    <row r="69" spans="1:5" ht="14.25">
      <c r="A69" s="18"/>
      <c r="B69" s="19" t="s">
        <v>206</v>
      </c>
    </row>
    <row r="70" spans="1:5" ht="15">
      <c r="A70" s="20" t="s">
        <v>0</v>
      </c>
      <c r="B70" s="20" t="s">
        <v>73</v>
      </c>
      <c r="C70" s="20" t="s">
        <v>74</v>
      </c>
      <c r="D70" s="20" t="s">
        <v>75</v>
      </c>
      <c r="E70" s="20" t="s">
        <v>11</v>
      </c>
    </row>
    <row r="71" spans="1:5">
      <c r="A71" s="17" t="s">
        <v>1027</v>
      </c>
      <c r="B71" s="5" t="s">
        <v>241</v>
      </c>
      <c r="C71" s="5" t="s">
        <v>455</v>
      </c>
      <c r="D71" s="5" t="s">
        <v>150</v>
      </c>
      <c r="E71" s="21" t="s">
        <v>1322</v>
      </c>
    </row>
  </sheetData>
  <mergeCells count="21">
    <mergeCell ref="A34:L34"/>
    <mergeCell ref="A14:L14"/>
    <mergeCell ref="A18:L18"/>
    <mergeCell ref="A21:L21"/>
    <mergeCell ref="A24:L24"/>
    <mergeCell ref="A28:L28"/>
    <mergeCell ref="A31:L31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8" width="5.5703125" style="5" bestFit="1" customWidth="1"/>
    <col min="9" max="9" width="4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3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728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1261</v>
      </c>
      <c r="B6" s="10" t="s">
        <v>1262</v>
      </c>
      <c r="C6" s="10" t="s">
        <v>1263</v>
      </c>
      <c r="D6" s="10" t="str">
        <f>"1,1585"</f>
        <v>1,1585</v>
      </c>
      <c r="E6" s="9" t="s">
        <v>18</v>
      </c>
      <c r="F6" s="9" t="s">
        <v>95</v>
      </c>
      <c r="G6" s="10" t="s">
        <v>293</v>
      </c>
      <c r="H6" s="10" t="s">
        <v>294</v>
      </c>
      <c r="I6" s="10" t="s">
        <v>134</v>
      </c>
      <c r="J6" s="11"/>
      <c r="K6" s="9" t="str">
        <f>"67,5"</f>
        <v>67,5</v>
      </c>
      <c r="L6" s="10" t="str">
        <f>"78,1987"</f>
        <v>78,1987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41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9" t="s">
        <v>922</v>
      </c>
      <c r="B9" s="10" t="s">
        <v>923</v>
      </c>
      <c r="C9" s="10" t="s">
        <v>924</v>
      </c>
      <c r="D9" s="10" t="str">
        <f>"0,9049"</f>
        <v>0,9049</v>
      </c>
      <c r="E9" s="9" t="s">
        <v>18</v>
      </c>
      <c r="F9" s="9" t="s">
        <v>415</v>
      </c>
      <c r="G9" s="10" t="s">
        <v>126</v>
      </c>
      <c r="H9" s="11"/>
      <c r="I9" s="11"/>
      <c r="J9" s="11"/>
      <c r="K9" s="9" t="str">
        <f>"120,0"</f>
        <v>120,0</v>
      </c>
      <c r="L9" s="10" t="str">
        <f>"108,5880"</f>
        <v>108,5880</v>
      </c>
      <c r="M9" s="9"/>
    </row>
    <row r="11" spans="1:13" ht="15">
      <c r="A11" s="47" t="s">
        <v>184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9" t="s">
        <v>1265</v>
      </c>
      <c r="B12" s="10" t="s">
        <v>1266</v>
      </c>
      <c r="C12" s="10" t="s">
        <v>1267</v>
      </c>
      <c r="D12" s="10" t="str">
        <f>"0,5666"</f>
        <v>0,5666</v>
      </c>
      <c r="E12" s="9" t="s">
        <v>18</v>
      </c>
      <c r="F12" s="9" t="s">
        <v>177</v>
      </c>
      <c r="G12" s="10" t="s">
        <v>697</v>
      </c>
      <c r="H12" s="10" t="s">
        <v>150</v>
      </c>
      <c r="I12" s="11"/>
      <c r="J12" s="11"/>
      <c r="K12" s="9" t="str">
        <f>"210,0"</f>
        <v>210,0</v>
      </c>
      <c r="L12" s="10" t="str">
        <f>"118,9965"</f>
        <v>118,9965</v>
      </c>
      <c r="M12" s="9"/>
    </row>
    <row r="14" spans="1:13" ht="15">
      <c r="E14" s="12" t="s">
        <v>64</v>
      </c>
    </row>
    <row r="15" spans="1:13" ht="15">
      <c r="E15" s="12" t="s">
        <v>65</v>
      </c>
    </row>
    <row r="16" spans="1:13" ht="15">
      <c r="E16" s="12" t="s">
        <v>66</v>
      </c>
    </row>
    <row r="17" spans="1:5">
      <c r="E17" s="4" t="s">
        <v>67</v>
      </c>
    </row>
    <row r="18" spans="1:5">
      <c r="E18" s="4" t="s">
        <v>68</v>
      </c>
    </row>
    <row r="19" spans="1:5">
      <c r="E19" s="4" t="s">
        <v>69</v>
      </c>
    </row>
    <row r="22" spans="1:5" ht="18">
      <c r="A22" s="13" t="s">
        <v>70</v>
      </c>
      <c r="B22" s="14"/>
    </row>
    <row r="23" spans="1:5" ht="15">
      <c r="A23" s="15" t="s">
        <v>71</v>
      </c>
      <c r="B23" s="16"/>
    </row>
    <row r="24" spans="1:5" ht="14.25">
      <c r="A24" s="18"/>
      <c r="B24" s="19" t="s">
        <v>80</v>
      </c>
    </row>
    <row r="25" spans="1:5" ht="15">
      <c r="A25" s="20" t="s">
        <v>0</v>
      </c>
      <c r="B25" s="20" t="s">
        <v>73</v>
      </c>
      <c r="C25" s="20" t="s">
        <v>74</v>
      </c>
      <c r="D25" s="20" t="s">
        <v>75</v>
      </c>
      <c r="E25" s="20" t="s">
        <v>11</v>
      </c>
    </row>
    <row r="26" spans="1:5">
      <c r="A26" s="17" t="s">
        <v>921</v>
      </c>
      <c r="B26" s="5" t="s">
        <v>80</v>
      </c>
      <c r="C26" s="5" t="s">
        <v>77</v>
      </c>
      <c r="D26" s="5" t="s">
        <v>126</v>
      </c>
      <c r="E26" s="21" t="s">
        <v>1268</v>
      </c>
    </row>
    <row r="27" spans="1:5">
      <c r="A27" s="17" t="s">
        <v>1260</v>
      </c>
      <c r="B27" s="5" t="s">
        <v>80</v>
      </c>
      <c r="C27" s="5" t="s">
        <v>837</v>
      </c>
      <c r="D27" s="5" t="s">
        <v>134</v>
      </c>
      <c r="E27" s="21" t="s">
        <v>1269</v>
      </c>
    </row>
    <row r="30" spans="1:5" ht="15">
      <c r="A30" s="15" t="s">
        <v>213</v>
      </c>
      <c r="B30" s="16"/>
    </row>
    <row r="31" spans="1:5" ht="14.25">
      <c r="A31" s="18"/>
      <c r="B31" s="19" t="s">
        <v>80</v>
      </c>
    </row>
    <row r="32" spans="1:5" ht="15">
      <c r="A32" s="20" t="s">
        <v>0</v>
      </c>
      <c r="B32" s="20" t="s">
        <v>73</v>
      </c>
      <c r="C32" s="20" t="s">
        <v>74</v>
      </c>
      <c r="D32" s="20" t="s">
        <v>75</v>
      </c>
      <c r="E32" s="20" t="s">
        <v>11</v>
      </c>
    </row>
    <row r="33" spans="1:5">
      <c r="A33" s="17" t="s">
        <v>1264</v>
      </c>
      <c r="B33" s="5" t="s">
        <v>80</v>
      </c>
      <c r="C33" s="5" t="s">
        <v>222</v>
      </c>
      <c r="D33" s="5" t="s">
        <v>150</v>
      </c>
      <c r="E33" s="21" t="s">
        <v>1270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8" width="4.5703125" style="5" bestFit="1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1705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1257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783</v>
      </c>
      <c r="B6" s="10" t="s">
        <v>784</v>
      </c>
      <c r="C6" s="10" t="s">
        <v>1258</v>
      </c>
      <c r="D6" s="10" t="str">
        <f>"0,6899"</f>
        <v>0,6899</v>
      </c>
      <c r="E6" s="9" t="s">
        <v>18</v>
      </c>
      <c r="F6" s="9" t="s">
        <v>60</v>
      </c>
      <c r="G6" s="10" t="s">
        <v>21</v>
      </c>
      <c r="H6" s="10" t="s">
        <v>52</v>
      </c>
      <c r="I6" s="11" t="s">
        <v>63</v>
      </c>
      <c r="J6" s="11"/>
      <c r="K6" s="9" t="str">
        <f>"90,0"</f>
        <v>90,0</v>
      </c>
      <c r="L6" s="10" t="str">
        <f>"62,0910"</f>
        <v>62,0910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E8" s="12" t="s">
        <v>64</v>
      </c>
    </row>
    <row r="9" spans="1:13" ht="15">
      <c r="E9" s="12" t="s">
        <v>65</v>
      </c>
    </row>
    <row r="10" spans="1:13" ht="15">
      <c r="E10" s="12" t="s">
        <v>66</v>
      </c>
    </row>
    <row r="11" spans="1:13">
      <c r="E11" s="4" t="s">
        <v>67</v>
      </c>
    </row>
    <row r="12" spans="1:13">
      <c r="E12" s="4" t="s">
        <v>68</v>
      </c>
    </row>
    <row r="13" spans="1:13">
      <c r="E13" s="4" t="s">
        <v>69</v>
      </c>
    </row>
    <row r="16" spans="1:13" ht="18">
      <c r="A16" s="13" t="s">
        <v>70</v>
      </c>
      <c r="B16" s="14"/>
    </row>
    <row r="17" spans="1:5" ht="15">
      <c r="A17" s="15" t="s">
        <v>213</v>
      </c>
      <c r="B17" s="16"/>
    </row>
    <row r="18" spans="1:5" ht="14.25">
      <c r="A18" s="18"/>
      <c r="B18" s="19" t="s">
        <v>80</v>
      </c>
    </row>
    <row r="19" spans="1:5" ht="15">
      <c r="A19" s="20" t="s">
        <v>0</v>
      </c>
      <c r="B19" s="20" t="s">
        <v>73</v>
      </c>
      <c r="C19" s="20" t="s">
        <v>74</v>
      </c>
      <c r="D19" s="20" t="s">
        <v>75</v>
      </c>
      <c r="E19" s="20" t="s">
        <v>11</v>
      </c>
    </row>
    <row r="20" spans="1:5">
      <c r="A20" s="17" t="s">
        <v>782</v>
      </c>
      <c r="B20" s="5" t="s">
        <v>80</v>
      </c>
      <c r="C20" s="5" t="s">
        <v>87</v>
      </c>
      <c r="D20" s="5" t="s">
        <v>52</v>
      </c>
      <c r="E20" s="21" t="s">
        <v>1259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21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8.710937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22.7109375" style="4" bestFit="1" customWidth="1"/>
    <col min="14" max="16384" width="9.140625" style="3"/>
  </cols>
  <sheetData>
    <row r="1" spans="1:13" s="2" customFormat="1" ht="29.1" customHeight="1">
      <c r="A1" s="33" t="s">
        <v>1704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3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892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22" t="s">
        <v>894</v>
      </c>
      <c r="B6" s="23" t="s">
        <v>895</v>
      </c>
      <c r="C6" s="23" t="s">
        <v>896</v>
      </c>
      <c r="D6" s="23" t="str">
        <f>"1,2704"</f>
        <v>1,2704</v>
      </c>
      <c r="E6" s="22" t="s">
        <v>18</v>
      </c>
      <c r="F6" s="22" t="s">
        <v>60</v>
      </c>
      <c r="G6" s="23" t="s">
        <v>897</v>
      </c>
      <c r="H6" s="23" t="s">
        <v>50</v>
      </c>
      <c r="I6" s="24" t="s">
        <v>105</v>
      </c>
      <c r="J6" s="24"/>
      <c r="K6" s="22" t="str">
        <f>"30,0"</f>
        <v>30,0</v>
      </c>
      <c r="L6" s="23" t="str">
        <f>"38,1120"</f>
        <v>38,1120</v>
      </c>
      <c r="M6" s="22"/>
    </row>
    <row r="7" spans="1:13" s="5" customFormat="1">
      <c r="A7" s="29" t="s">
        <v>894</v>
      </c>
      <c r="B7" s="28" t="s">
        <v>898</v>
      </c>
      <c r="C7" s="28" t="s">
        <v>896</v>
      </c>
      <c r="D7" s="28" t="str">
        <f>"1,2704"</f>
        <v>1,2704</v>
      </c>
      <c r="E7" s="29" t="s">
        <v>18</v>
      </c>
      <c r="F7" s="29" t="s">
        <v>60</v>
      </c>
      <c r="G7" s="28" t="s">
        <v>897</v>
      </c>
      <c r="H7" s="28" t="s">
        <v>50</v>
      </c>
      <c r="I7" s="30" t="s">
        <v>105</v>
      </c>
      <c r="J7" s="30"/>
      <c r="K7" s="29" t="str">
        <f>"30,0"</f>
        <v>30,0</v>
      </c>
      <c r="L7" s="28" t="str">
        <f>"39,2935"</f>
        <v>39,2935</v>
      </c>
      <c r="M7" s="29"/>
    </row>
    <row r="9" spans="1:13" ht="15">
      <c r="A9" s="47" t="s">
        <v>13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>
      <c r="A10" s="9" t="s">
        <v>900</v>
      </c>
      <c r="B10" s="10" t="s">
        <v>901</v>
      </c>
      <c r="C10" s="10" t="s">
        <v>902</v>
      </c>
      <c r="D10" s="10" t="str">
        <f>"1,2136"</f>
        <v>1,2136</v>
      </c>
      <c r="E10" s="9" t="s">
        <v>341</v>
      </c>
      <c r="F10" s="9" t="s">
        <v>415</v>
      </c>
      <c r="G10" s="10" t="s">
        <v>51</v>
      </c>
      <c r="H10" s="10" t="s">
        <v>23</v>
      </c>
      <c r="I10" s="11" t="s">
        <v>47</v>
      </c>
      <c r="J10" s="11"/>
      <c r="K10" s="9" t="str">
        <f>"40,0"</f>
        <v>40,0</v>
      </c>
      <c r="L10" s="10" t="str">
        <f>"48,5440"</f>
        <v>48,5440</v>
      </c>
      <c r="M10" s="9"/>
    </row>
    <row r="12" spans="1:13" ht="15">
      <c r="A12" s="47" t="s">
        <v>288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>
      <c r="A13" s="22" t="s">
        <v>904</v>
      </c>
      <c r="B13" s="23" t="s">
        <v>905</v>
      </c>
      <c r="C13" s="23" t="s">
        <v>292</v>
      </c>
      <c r="D13" s="23" t="str">
        <f>"1,0530"</f>
        <v>1,0530</v>
      </c>
      <c r="E13" s="22" t="s">
        <v>18</v>
      </c>
      <c r="F13" s="22" t="s">
        <v>906</v>
      </c>
      <c r="G13" s="23" t="s">
        <v>62</v>
      </c>
      <c r="H13" s="23" t="s">
        <v>103</v>
      </c>
      <c r="I13" s="24" t="s">
        <v>337</v>
      </c>
      <c r="J13" s="24"/>
      <c r="K13" s="22" t="str">
        <f>"70,0"</f>
        <v>70,0</v>
      </c>
      <c r="L13" s="23" t="str">
        <f>"73,7100"</f>
        <v>73,7100</v>
      </c>
      <c r="M13" s="22"/>
    </row>
    <row r="14" spans="1:13">
      <c r="A14" s="29" t="s">
        <v>908</v>
      </c>
      <c r="B14" s="28" t="s">
        <v>909</v>
      </c>
      <c r="C14" s="28" t="s">
        <v>910</v>
      </c>
      <c r="D14" s="28" t="str">
        <f>"1,0469"</f>
        <v>1,0469</v>
      </c>
      <c r="E14" s="29" t="s">
        <v>18</v>
      </c>
      <c r="F14" s="29" t="s">
        <v>95</v>
      </c>
      <c r="G14" s="28" t="s">
        <v>23</v>
      </c>
      <c r="H14" s="28" t="s">
        <v>111</v>
      </c>
      <c r="I14" s="30" t="s">
        <v>47</v>
      </c>
      <c r="J14" s="30"/>
      <c r="K14" s="29" t="str">
        <f>"42,5"</f>
        <v>42,5</v>
      </c>
      <c r="L14" s="28" t="str">
        <f>"44,4933"</f>
        <v>44,4933</v>
      </c>
      <c r="M14" s="29"/>
    </row>
    <row r="16" spans="1:13" ht="15">
      <c r="A16" s="47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  <row r="17" spans="1:13">
      <c r="A17" s="22" t="s">
        <v>912</v>
      </c>
      <c r="B17" s="23" t="s">
        <v>913</v>
      </c>
      <c r="C17" s="23" t="s">
        <v>914</v>
      </c>
      <c r="D17" s="23" t="str">
        <f>"1,0010"</f>
        <v>1,0010</v>
      </c>
      <c r="E17" s="22" t="s">
        <v>18</v>
      </c>
      <c r="F17" s="22" t="s">
        <v>915</v>
      </c>
      <c r="G17" s="23" t="s">
        <v>294</v>
      </c>
      <c r="H17" s="24" t="s">
        <v>134</v>
      </c>
      <c r="I17" s="24" t="s">
        <v>134</v>
      </c>
      <c r="J17" s="24"/>
      <c r="K17" s="22" t="str">
        <f>"62,5"</f>
        <v>62,5</v>
      </c>
      <c r="L17" s="23" t="str">
        <f>"62,5625"</f>
        <v>62,5625</v>
      </c>
      <c r="M17" s="22"/>
    </row>
    <row r="18" spans="1:13">
      <c r="A18" s="29" t="s">
        <v>917</v>
      </c>
      <c r="B18" s="28" t="s">
        <v>918</v>
      </c>
      <c r="C18" s="28" t="s">
        <v>919</v>
      </c>
      <c r="D18" s="28" t="str">
        <f>"0,9969"</f>
        <v>0,9969</v>
      </c>
      <c r="E18" s="29" t="s">
        <v>18</v>
      </c>
      <c r="F18" s="29" t="s">
        <v>920</v>
      </c>
      <c r="G18" s="28" t="s">
        <v>294</v>
      </c>
      <c r="H18" s="28" t="s">
        <v>134</v>
      </c>
      <c r="I18" s="28" t="s">
        <v>337</v>
      </c>
      <c r="J18" s="30"/>
      <c r="K18" s="29" t="str">
        <f>"72,5"</f>
        <v>72,5</v>
      </c>
      <c r="L18" s="28" t="str">
        <f>"72,2789"</f>
        <v>72,2789</v>
      </c>
      <c r="M18" s="29"/>
    </row>
    <row r="20" spans="1:13" ht="15">
      <c r="A20" s="47" t="s">
        <v>41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3">
      <c r="A21" s="22" t="s">
        <v>922</v>
      </c>
      <c r="B21" s="23" t="s">
        <v>923</v>
      </c>
      <c r="C21" s="23" t="s">
        <v>924</v>
      </c>
      <c r="D21" s="23" t="str">
        <f>"0,9049"</f>
        <v>0,9049</v>
      </c>
      <c r="E21" s="22" t="s">
        <v>18</v>
      </c>
      <c r="F21" s="22" t="s">
        <v>415</v>
      </c>
      <c r="G21" s="23" t="s">
        <v>24</v>
      </c>
      <c r="H21" s="23" t="s">
        <v>53</v>
      </c>
      <c r="I21" s="23" t="s">
        <v>63</v>
      </c>
      <c r="J21" s="24"/>
      <c r="K21" s="22" t="str">
        <f>"100,0"</f>
        <v>100,0</v>
      </c>
      <c r="L21" s="23" t="str">
        <f>"90,4900"</f>
        <v>90,4900</v>
      </c>
      <c r="M21" s="22"/>
    </row>
    <row r="22" spans="1:13">
      <c r="A22" s="29" t="s">
        <v>760</v>
      </c>
      <c r="B22" s="28" t="s">
        <v>761</v>
      </c>
      <c r="C22" s="28" t="s">
        <v>925</v>
      </c>
      <c r="D22" s="28" t="str">
        <f>"0,9000"</f>
        <v>0,9000</v>
      </c>
      <c r="E22" s="29" t="s">
        <v>18</v>
      </c>
      <c r="F22" s="29" t="s">
        <v>60</v>
      </c>
      <c r="G22" s="28" t="s">
        <v>293</v>
      </c>
      <c r="H22" s="28" t="s">
        <v>62</v>
      </c>
      <c r="I22" s="28" t="s">
        <v>337</v>
      </c>
      <c r="J22" s="30"/>
      <c r="K22" s="29" t="str">
        <f>"72,5"</f>
        <v>72,5</v>
      </c>
      <c r="L22" s="28" t="str">
        <f>"70,5966"</f>
        <v>70,5966</v>
      </c>
      <c r="M22" s="29"/>
    </row>
    <row r="24" spans="1:13" ht="15">
      <c r="A24" s="47" t="s">
        <v>305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3">
      <c r="A25" s="9" t="s">
        <v>927</v>
      </c>
      <c r="B25" s="10" t="s">
        <v>928</v>
      </c>
      <c r="C25" s="10" t="s">
        <v>929</v>
      </c>
      <c r="D25" s="10" t="str">
        <f>"0,7925"</f>
        <v>0,7925</v>
      </c>
      <c r="E25" s="9" t="s">
        <v>94</v>
      </c>
      <c r="F25" s="9" t="s">
        <v>95</v>
      </c>
      <c r="G25" s="10" t="s">
        <v>22</v>
      </c>
      <c r="H25" s="10" t="s">
        <v>23</v>
      </c>
      <c r="I25" s="10" t="s">
        <v>111</v>
      </c>
      <c r="J25" s="11"/>
      <c r="K25" s="9" t="str">
        <f>"42,5"</f>
        <v>42,5</v>
      </c>
      <c r="L25" s="10" t="str">
        <f>"34,0181"</f>
        <v>34,0181</v>
      </c>
      <c r="M25" s="9"/>
    </row>
    <row r="27" spans="1:13" ht="15">
      <c r="A27" s="47" t="s">
        <v>767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3">
      <c r="A28" s="9" t="s">
        <v>769</v>
      </c>
      <c r="B28" s="10" t="s">
        <v>770</v>
      </c>
      <c r="C28" s="10" t="s">
        <v>930</v>
      </c>
      <c r="D28" s="10" t="str">
        <f>"0,7173"</f>
        <v>0,7173</v>
      </c>
      <c r="E28" s="9" t="s">
        <v>18</v>
      </c>
      <c r="F28" s="9" t="s">
        <v>60</v>
      </c>
      <c r="G28" s="10" t="s">
        <v>287</v>
      </c>
      <c r="H28" s="10" t="s">
        <v>49</v>
      </c>
      <c r="I28" s="11" t="s">
        <v>293</v>
      </c>
      <c r="J28" s="11"/>
      <c r="K28" s="9" t="str">
        <f>"52,5"</f>
        <v>52,5</v>
      </c>
      <c r="L28" s="10" t="str">
        <f>"37,6582"</f>
        <v>37,6582</v>
      </c>
      <c r="M28" s="9"/>
    </row>
    <row r="30" spans="1:13" ht="15">
      <c r="A30" s="47" t="s">
        <v>728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3">
      <c r="A31" s="9" t="s">
        <v>932</v>
      </c>
      <c r="B31" s="10" t="s">
        <v>933</v>
      </c>
      <c r="C31" s="10" t="s">
        <v>934</v>
      </c>
      <c r="D31" s="10" t="str">
        <f>"1,0825"</f>
        <v>1,0825</v>
      </c>
      <c r="E31" s="9" t="s">
        <v>433</v>
      </c>
      <c r="F31" s="9" t="s">
        <v>95</v>
      </c>
      <c r="G31" s="10" t="s">
        <v>50</v>
      </c>
      <c r="H31" s="10" t="s">
        <v>23</v>
      </c>
      <c r="I31" s="10" t="s">
        <v>287</v>
      </c>
      <c r="J31" s="11"/>
      <c r="K31" s="9" t="str">
        <f>"47,5"</f>
        <v>47,5</v>
      </c>
      <c r="L31" s="10" t="str">
        <f>"51,4164"</f>
        <v>51,4164</v>
      </c>
      <c r="M31" s="9"/>
    </row>
    <row r="33" spans="1:13" ht="15">
      <c r="A33" s="47" t="s">
        <v>27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3">
      <c r="A34" s="22" t="s">
        <v>936</v>
      </c>
      <c r="B34" s="23" t="s">
        <v>937</v>
      </c>
      <c r="C34" s="23" t="s">
        <v>914</v>
      </c>
      <c r="D34" s="23" t="str">
        <f>"0,8467"</f>
        <v>0,8467</v>
      </c>
      <c r="E34" s="22" t="s">
        <v>18</v>
      </c>
      <c r="F34" s="22" t="s">
        <v>95</v>
      </c>
      <c r="G34" s="24" t="s">
        <v>125</v>
      </c>
      <c r="H34" s="23" t="s">
        <v>126</v>
      </c>
      <c r="I34" s="24" t="s">
        <v>322</v>
      </c>
      <c r="J34" s="24"/>
      <c r="K34" s="22" t="str">
        <f>"120,0"</f>
        <v>120,0</v>
      </c>
      <c r="L34" s="23" t="str">
        <f>"101,5980"</f>
        <v>101,5980</v>
      </c>
      <c r="M34" s="22"/>
    </row>
    <row r="35" spans="1:13">
      <c r="A35" s="29" t="s">
        <v>939</v>
      </c>
      <c r="B35" s="28" t="s">
        <v>940</v>
      </c>
      <c r="C35" s="28" t="s">
        <v>941</v>
      </c>
      <c r="D35" s="28" t="str">
        <f>"0,8411"</f>
        <v>0,8411</v>
      </c>
      <c r="E35" s="29" t="s">
        <v>18</v>
      </c>
      <c r="F35" s="29" t="s">
        <v>942</v>
      </c>
      <c r="G35" s="30" t="s">
        <v>52</v>
      </c>
      <c r="H35" s="28" t="s">
        <v>52</v>
      </c>
      <c r="I35" s="30" t="s">
        <v>53</v>
      </c>
      <c r="J35" s="30"/>
      <c r="K35" s="29" t="str">
        <f>"90,0"</f>
        <v>90,0</v>
      </c>
      <c r="L35" s="28" t="str">
        <f>"75,6945"</f>
        <v>75,6945</v>
      </c>
      <c r="M35" s="29"/>
    </row>
    <row r="37" spans="1:13" ht="15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3">
      <c r="A38" s="22" t="s">
        <v>944</v>
      </c>
      <c r="B38" s="23" t="s">
        <v>945</v>
      </c>
      <c r="C38" s="23" t="s">
        <v>248</v>
      </c>
      <c r="D38" s="23" t="str">
        <f>"0,7733"</f>
        <v>0,7733</v>
      </c>
      <c r="E38" s="22" t="s">
        <v>18</v>
      </c>
      <c r="F38" s="22" t="s">
        <v>95</v>
      </c>
      <c r="G38" s="23" t="s">
        <v>21</v>
      </c>
      <c r="H38" s="23" t="s">
        <v>52</v>
      </c>
      <c r="I38" s="23" t="s">
        <v>53</v>
      </c>
      <c r="J38" s="24"/>
      <c r="K38" s="22" t="str">
        <f>"97,5"</f>
        <v>97,5</v>
      </c>
      <c r="L38" s="23" t="str">
        <f>"75,3967"</f>
        <v>75,3967</v>
      </c>
      <c r="M38" s="22"/>
    </row>
    <row r="39" spans="1:13">
      <c r="A39" s="25" t="s">
        <v>947</v>
      </c>
      <c r="B39" s="26" t="s">
        <v>948</v>
      </c>
      <c r="C39" s="26" t="s">
        <v>949</v>
      </c>
      <c r="D39" s="26" t="str">
        <f>"0,7650"</f>
        <v>0,7650</v>
      </c>
      <c r="E39" s="25" t="s">
        <v>18</v>
      </c>
      <c r="F39" s="25" t="s">
        <v>95</v>
      </c>
      <c r="G39" s="26" t="s">
        <v>33</v>
      </c>
      <c r="H39" s="26" t="s">
        <v>366</v>
      </c>
      <c r="I39" s="26" t="s">
        <v>249</v>
      </c>
      <c r="J39" s="27"/>
      <c r="K39" s="25" t="str">
        <f>"140,0"</f>
        <v>140,0</v>
      </c>
      <c r="L39" s="26" t="str">
        <f>"107,1070"</f>
        <v>107,1070</v>
      </c>
      <c r="M39" s="25"/>
    </row>
    <row r="40" spans="1:13">
      <c r="A40" s="25" t="s">
        <v>951</v>
      </c>
      <c r="B40" s="26" t="s">
        <v>952</v>
      </c>
      <c r="C40" s="26" t="s">
        <v>953</v>
      </c>
      <c r="D40" s="26" t="str">
        <f>"0,7630"</f>
        <v>0,7630</v>
      </c>
      <c r="E40" s="25" t="s">
        <v>18</v>
      </c>
      <c r="F40" s="25" t="s">
        <v>95</v>
      </c>
      <c r="G40" s="26" t="s">
        <v>199</v>
      </c>
      <c r="H40" s="27" t="s">
        <v>366</v>
      </c>
      <c r="I40" s="27" t="s">
        <v>37</v>
      </c>
      <c r="J40" s="27"/>
      <c r="K40" s="25" t="str">
        <f>"132,5"</f>
        <v>132,5</v>
      </c>
      <c r="L40" s="26" t="str">
        <f>"101,0975"</f>
        <v>101,0975</v>
      </c>
      <c r="M40" s="25"/>
    </row>
    <row r="41" spans="1:13">
      <c r="A41" s="25" t="s">
        <v>954</v>
      </c>
      <c r="B41" s="26" t="s">
        <v>955</v>
      </c>
      <c r="C41" s="26" t="s">
        <v>956</v>
      </c>
      <c r="D41" s="26" t="str">
        <f>"0,7522"</f>
        <v>0,7522</v>
      </c>
      <c r="E41" s="25" t="s">
        <v>18</v>
      </c>
      <c r="F41" s="25" t="s">
        <v>95</v>
      </c>
      <c r="G41" s="26" t="s">
        <v>304</v>
      </c>
      <c r="H41" s="27" t="s">
        <v>125</v>
      </c>
      <c r="I41" s="27" t="s">
        <v>125</v>
      </c>
      <c r="J41" s="27"/>
      <c r="K41" s="25" t="str">
        <f>"107,5"</f>
        <v>107,5</v>
      </c>
      <c r="L41" s="26" t="str">
        <f>"80,8615"</f>
        <v>80,8615</v>
      </c>
      <c r="M41" s="25"/>
    </row>
    <row r="42" spans="1:13">
      <c r="A42" s="25" t="s">
        <v>957</v>
      </c>
      <c r="B42" s="26" t="s">
        <v>958</v>
      </c>
      <c r="C42" s="26" t="s">
        <v>248</v>
      </c>
      <c r="D42" s="26" t="str">
        <f>"0,7733"</f>
        <v>0,7733</v>
      </c>
      <c r="E42" s="25" t="s">
        <v>18</v>
      </c>
      <c r="F42" s="25" t="s">
        <v>95</v>
      </c>
      <c r="G42" s="26" t="s">
        <v>52</v>
      </c>
      <c r="H42" s="26" t="s">
        <v>53</v>
      </c>
      <c r="I42" s="27" t="s">
        <v>304</v>
      </c>
      <c r="J42" s="27"/>
      <c r="K42" s="25" t="str">
        <f>"97,5"</f>
        <v>97,5</v>
      </c>
      <c r="L42" s="26" t="str">
        <f>"75,3967"</f>
        <v>75,3967</v>
      </c>
      <c r="M42" s="25"/>
    </row>
    <row r="43" spans="1:13">
      <c r="A43" s="29" t="s">
        <v>960</v>
      </c>
      <c r="B43" s="28" t="s">
        <v>961</v>
      </c>
      <c r="C43" s="28" t="s">
        <v>962</v>
      </c>
      <c r="D43" s="28" t="str">
        <f>"0,7551"</f>
        <v>0,7551</v>
      </c>
      <c r="E43" s="29" t="s">
        <v>18</v>
      </c>
      <c r="F43" s="29" t="s">
        <v>963</v>
      </c>
      <c r="G43" s="28" t="s">
        <v>63</v>
      </c>
      <c r="H43" s="30" t="s">
        <v>25</v>
      </c>
      <c r="I43" s="28" t="s">
        <v>304</v>
      </c>
      <c r="J43" s="30"/>
      <c r="K43" s="29" t="str">
        <f>"107,5"</f>
        <v>107,5</v>
      </c>
      <c r="L43" s="28" t="str">
        <f>"96,1091"</f>
        <v>96,1091</v>
      </c>
      <c r="M43" s="29"/>
    </row>
    <row r="45" spans="1:13" ht="15">
      <c r="A45" s="47" t="s">
        <v>54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3">
      <c r="A46" s="22" t="s">
        <v>965</v>
      </c>
      <c r="B46" s="23" t="s">
        <v>966</v>
      </c>
      <c r="C46" s="23" t="s">
        <v>967</v>
      </c>
      <c r="D46" s="23" t="str">
        <f>"0,6892"</f>
        <v>0,6892</v>
      </c>
      <c r="E46" s="22" t="s">
        <v>18</v>
      </c>
      <c r="F46" s="22" t="s">
        <v>95</v>
      </c>
      <c r="G46" s="24" t="s">
        <v>32</v>
      </c>
      <c r="H46" s="23" t="s">
        <v>33</v>
      </c>
      <c r="I46" s="24" t="s">
        <v>142</v>
      </c>
      <c r="J46" s="24"/>
      <c r="K46" s="22" t="str">
        <f>"130,0"</f>
        <v>130,0</v>
      </c>
      <c r="L46" s="23" t="str">
        <f>"89,5960"</f>
        <v>89,5960</v>
      </c>
      <c r="M46" s="22"/>
    </row>
    <row r="47" spans="1:13">
      <c r="A47" s="25" t="s">
        <v>968</v>
      </c>
      <c r="B47" s="26" t="s">
        <v>616</v>
      </c>
      <c r="C47" s="26" t="s">
        <v>969</v>
      </c>
      <c r="D47" s="26" t="str">
        <f>"0,7056"</f>
        <v>0,7056</v>
      </c>
      <c r="E47" s="25" t="s">
        <v>18</v>
      </c>
      <c r="F47" s="25" t="s">
        <v>60</v>
      </c>
      <c r="G47" s="26" t="s">
        <v>34</v>
      </c>
      <c r="H47" s="26" t="s">
        <v>112</v>
      </c>
      <c r="I47" s="26" t="s">
        <v>24</v>
      </c>
      <c r="J47" s="27"/>
      <c r="K47" s="25" t="str">
        <f>"95,0"</f>
        <v>95,0</v>
      </c>
      <c r="L47" s="26" t="str">
        <f>"67,0367"</f>
        <v>67,0367</v>
      </c>
      <c r="M47" s="25"/>
    </row>
    <row r="48" spans="1:13">
      <c r="A48" s="25" t="s">
        <v>971</v>
      </c>
      <c r="B48" s="26" t="s">
        <v>972</v>
      </c>
      <c r="C48" s="26" t="s">
        <v>336</v>
      </c>
      <c r="D48" s="26" t="str">
        <f>"0,6927"</f>
        <v>0,6927</v>
      </c>
      <c r="E48" s="25" t="s">
        <v>18</v>
      </c>
      <c r="F48" s="25" t="s">
        <v>973</v>
      </c>
      <c r="G48" s="26" t="s">
        <v>142</v>
      </c>
      <c r="H48" s="26" t="s">
        <v>249</v>
      </c>
      <c r="I48" s="26" t="s">
        <v>169</v>
      </c>
      <c r="J48" s="27"/>
      <c r="K48" s="25" t="str">
        <f>"145,0"</f>
        <v>145,0</v>
      </c>
      <c r="L48" s="26" t="str">
        <f>"100,4343"</f>
        <v>100,4343</v>
      </c>
      <c r="M48" s="25"/>
    </row>
    <row r="49" spans="1:13">
      <c r="A49" s="25" t="s">
        <v>975</v>
      </c>
      <c r="B49" s="26" t="s">
        <v>976</v>
      </c>
      <c r="C49" s="26" t="s">
        <v>977</v>
      </c>
      <c r="D49" s="26" t="str">
        <f>"0,7149"</f>
        <v>0,7149</v>
      </c>
      <c r="E49" s="25" t="s">
        <v>18</v>
      </c>
      <c r="F49" s="25" t="s">
        <v>978</v>
      </c>
      <c r="G49" s="26" t="s">
        <v>32</v>
      </c>
      <c r="H49" s="26" t="s">
        <v>142</v>
      </c>
      <c r="I49" s="26" t="s">
        <v>249</v>
      </c>
      <c r="J49" s="27"/>
      <c r="K49" s="25" t="str">
        <f>"140,0"</f>
        <v>140,0</v>
      </c>
      <c r="L49" s="26" t="str">
        <f>"100,0790"</f>
        <v>100,0790</v>
      </c>
      <c r="M49" s="25"/>
    </row>
    <row r="50" spans="1:13">
      <c r="A50" s="25" t="s">
        <v>980</v>
      </c>
      <c r="B50" s="26" t="s">
        <v>981</v>
      </c>
      <c r="C50" s="26" t="s">
        <v>982</v>
      </c>
      <c r="D50" s="26" t="str">
        <f>"0,7304"</f>
        <v>0,7304</v>
      </c>
      <c r="E50" s="25" t="s">
        <v>18</v>
      </c>
      <c r="F50" s="25" t="s">
        <v>983</v>
      </c>
      <c r="G50" s="26" t="s">
        <v>126</v>
      </c>
      <c r="H50" s="26" t="s">
        <v>33</v>
      </c>
      <c r="I50" s="27" t="s">
        <v>142</v>
      </c>
      <c r="J50" s="27"/>
      <c r="K50" s="25" t="str">
        <f>"130,0"</f>
        <v>130,0</v>
      </c>
      <c r="L50" s="26" t="str">
        <f>"94,9585"</f>
        <v>94,9585</v>
      </c>
      <c r="M50" s="25"/>
    </row>
    <row r="51" spans="1:13">
      <c r="A51" s="25" t="s">
        <v>985</v>
      </c>
      <c r="B51" s="26" t="s">
        <v>986</v>
      </c>
      <c r="C51" s="26" t="s">
        <v>987</v>
      </c>
      <c r="D51" s="26" t="str">
        <f>"0,7071"</f>
        <v>0,7071</v>
      </c>
      <c r="E51" s="25" t="s">
        <v>18</v>
      </c>
      <c r="F51" s="25" t="s">
        <v>95</v>
      </c>
      <c r="G51" s="26" t="s">
        <v>191</v>
      </c>
      <c r="H51" s="26" t="s">
        <v>127</v>
      </c>
      <c r="I51" s="26" t="s">
        <v>322</v>
      </c>
      <c r="J51" s="27"/>
      <c r="K51" s="25" t="str">
        <f>"127,5"</f>
        <v>127,5</v>
      </c>
      <c r="L51" s="26" t="str">
        <f>"90,1552"</f>
        <v>90,1552</v>
      </c>
      <c r="M51" s="25"/>
    </row>
    <row r="52" spans="1:13">
      <c r="A52" s="25" t="s">
        <v>989</v>
      </c>
      <c r="B52" s="26" t="s">
        <v>990</v>
      </c>
      <c r="C52" s="26" t="s">
        <v>991</v>
      </c>
      <c r="D52" s="26" t="str">
        <f>"0,6906"</f>
        <v>0,6906</v>
      </c>
      <c r="E52" s="25" t="s">
        <v>18</v>
      </c>
      <c r="F52" s="25" t="s">
        <v>95</v>
      </c>
      <c r="G52" s="26" t="s">
        <v>126</v>
      </c>
      <c r="H52" s="26" t="s">
        <v>32</v>
      </c>
      <c r="I52" s="26" t="s">
        <v>322</v>
      </c>
      <c r="J52" s="27"/>
      <c r="K52" s="25" t="str">
        <f>"127,5"</f>
        <v>127,5</v>
      </c>
      <c r="L52" s="26" t="str">
        <f>"88,0515"</f>
        <v>88,0515</v>
      </c>
      <c r="M52" s="25"/>
    </row>
    <row r="53" spans="1:13">
      <c r="A53" s="25" t="s">
        <v>992</v>
      </c>
      <c r="B53" s="26" t="s">
        <v>993</v>
      </c>
      <c r="C53" s="26" t="s">
        <v>133</v>
      </c>
      <c r="D53" s="26" t="str">
        <f>"0,6962"</f>
        <v>0,6962</v>
      </c>
      <c r="E53" s="25" t="s">
        <v>18</v>
      </c>
      <c r="F53" s="25" t="s">
        <v>906</v>
      </c>
      <c r="G53" s="26" t="s">
        <v>191</v>
      </c>
      <c r="H53" s="26" t="s">
        <v>126</v>
      </c>
      <c r="I53" s="27" t="s">
        <v>127</v>
      </c>
      <c r="J53" s="27"/>
      <c r="K53" s="25" t="str">
        <f>"120,0"</f>
        <v>120,0</v>
      </c>
      <c r="L53" s="26" t="str">
        <f>"83,5380"</f>
        <v>83,5380</v>
      </c>
      <c r="M53" s="25"/>
    </row>
    <row r="54" spans="1:13">
      <c r="A54" s="25" t="s">
        <v>994</v>
      </c>
      <c r="B54" s="26" t="s">
        <v>995</v>
      </c>
      <c r="C54" s="26" t="s">
        <v>58</v>
      </c>
      <c r="D54" s="26" t="str">
        <f>"0,6885"</f>
        <v>0,6885</v>
      </c>
      <c r="E54" s="25" t="s">
        <v>18</v>
      </c>
      <c r="F54" s="25" t="s">
        <v>906</v>
      </c>
      <c r="G54" s="26" t="s">
        <v>190</v>
      </c>
      <c r="H54" s="26" t="s">
        <v>191</v>
      </c>
      <c r="I54" s="26" t="s">
        <v>126</v>
      </c>
      <c r="J54" s="27"/>
      <c r="K54" s="25" t="str">
        <f>"120,0"</f>
        <v>120,0</v>
      </c>
      <c r="L54" s="26" t="str">
        <f>"82,6260"</f>
        <v>82,6260</v>
      </c>
      <c r="M54" s="25"/>
    </row>
    <row r="55" spans="1:13">
      <c r="A55" s="25" t="s">
        <v>996</v>
      </c>
      <c r="B55" s="26" t="s">
        <v>997</v>
      </c>
      <c r="C55" s="26" t="s">
        <v>93</v>
      </c>
      <c r="D55" s="26" t="str">
        <f>"0,7079"</f>
        <v>0,7079</v>
      </c>
      <c r="E55" s="25" t="s">
        <v>18</v>
      </c>
      <c r="F55" s="25" t="s">
        <v>998</v>
      </c>
      <c r="G55" s="26" t="s">
        <v>191</v>
      </c>
      <c r="H55" s="27" t="s">
        <v>126</v>
      </c>
      <c r="I55" s="27" t="s">
        <v>126</v>
      </c>
      <c r="J55" s="27"/>
      <c r="K55" s="25" t="str">
        <f>"117,5"</f>
        <v>117,5</v>
      </c>
      <c r="L55" s="26" t="str">
        <f>"83,1782"</f>
        <v>83,1782</v>
      </c>
      <c r="M55" s="25"/>
    </row>
    <row r="56" spans="1:13">
      <c r="A56" s="25" t="s">
        <v>999</v>
      </c>
      <c r="B56" s="26" t="s">
        <v>1000</v>
      </c>
      <c r="C56" s="26" t="s">
        <v>887</v>
      </c>
      <c r="D56" s="26" t="str">
        <f>"0,7012"</f>
        <v>0,7012</v>
      </c>
      <c r="E56" s="25" t="s">
        <v>18</v>
      </c>
      <c r="F56" s="25" t="s">
        <v>915</v>
      </c>
      <c r="G56" s="27" t="s">
        <v>191</v>
      </c>
      <c r="H56" s="26" t="s">
        <v>191</v>
      </c>
      <c r="I56" s="27" t="s">
        <v>142</v>
      </c>
      <c r="J56" s="27"/>
      <c r="K56" s="25" t="str">
        <f>"117,5"</f>
        <v>117,5</v>
      </c>
      <c r="L56" s="26" t="str">
        <f>"82,3851"</f>
        <v>82,3851</v>
      </c>
      <c r="M56" s="25"/>
    </row>
    <row r="57" spans="1:13">
      <c r="A57" s="25" t="s">
        <v>1001</v>
      </c>
      <c r="B57" s="26" t="s">
        <v>1002</v>
      </c>
      <c r="C57" s="26" t="s">
        <v>1003</v>
      </c>
      <c r="D57" s="26" t="str">
        <f>"0,6983"</f>
        <v>0,6983</v>
      </c>
      <c r="E57" s="25" t="s">
        <v>18</v>
      </c>
      <c r="F57" s="25" t="s">
        <v>95</v>
      </c>
      <c r="G57" s="27" t="s">
        <v>63</v>
      </c>
      <c r="H57" s="27" t="s">
        <v>63</v>
      </c>
      <c r="I57" s="27" t="s">
        <v>63</v>
      </c>
      <c r="J57" s="27"/>
      <c r="K57" s="25" t="str">
        <f>"0.00"</f>
        <v>0.00</v>
      </c>
      <c r="L57" s="26" t="str">
        <f>"0,0000"</f>
        <v>0,0000</v>
      </c>
      <c r="M57" s="25"/>
    </row>
    <row r="58" spans="1:13">
      <c r="A58" s="29" t="s">
        <v>1005</v>
      </c>
      <c r="B58" s="28" t="s">
        <v>1006</v>
      </c>
      <c r="C58" s="28" t="s">
        <v>133</v>
      </c>
      <c r="D58" s="28" t="str">
        <f>"0,6962"</f>
        <v>0,6962</v>
      </c>
      <c r="E58" s="29" t="s">
        <v>18</v>
      </c>
      <c r="F58" s="29" t="s">
        <v>95</v>
      </c>
      <c r="G58" s="28" t="s">
        <v>142</v>
      </c>
      <c r="H58" s="28" t="s">
        <v>169</v>
      </c>
      <c r="I58" s="28" t="s">
        <v>136</v>
      </c>
      <c r="J58" s="30"/>
      <c r="K58" s="29" t="str">
        <f>"150,0"</f>
        <v>150,0</v>
      </c>
      <c r="L58" s="28" t="str">
        <f>"111,5232"</f>
        <v>111,5232</v>
      </c>
      <c r="M58" s="29"/>
    </row>
    <row r="60" spans="1:13" ht="15">
      <c r="A60" s="47" t="s">
        <v>305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1:13">
      <c r="A61" s="22" t="s">
        <v>1008</v>
      </c>
      <c r="B61" s="23" t="s">
        <v>1009</v>
      </c>
      <c r="C61" s="23" t="s">
        <v>1010</v>
      </c>
      <c r="D61" s="23" t="str">
        <f>"0,6535"</f>
        <v>0,6535</v>
      </c>
      <c r="E61" s="22" t="s">
        <v>18</v>
      </c>
      <c r="F61" s="22" t="s">
        <v>1011</v>
      </c>
      <c r="G61" s="23" t="s">
        <v>63</v>
      </c>
      <c r="H61" s="23" t="s">
        <v>26</v>
      </c>
      <c r="I61" s="24" t="s">
        <v>125</v>
      </c>
      <c r="J61" s="24"/>
      <c r="K61" s="22" t="str">
        <f>"110,0"</f>
        <v>110,0</v>
      </c>
      <c r="L61" s="23" t="str">
        <f>"71,8795"</f>
        <v>71,8795</v>
      </c>
      <c r="M61" s="22"/>
    </row>
    <row r="62" spans="1:13">
      <c r="A62" s="25" t="s">
        <v>1013</v>
      </c>
      <c r="B62" s="26" t="s">
        <v>1014</v>
      </c>
      <c r="C62" s="26" t="s">
        <v>650</v>
      </c>
      <c r="D62" s="26" t="str">
        <f>"0,6618"</f>
        <v>0,6618</v>
      </c>
      <c r="E62" s="25" t="s">
        <v>18</v>
      </c>
      <c r="F62" s="25" t="s">
        <v>95</v>
      </c>
      <c r="G62" s="26" t="s">
        <v>125</v>
      </c>
      <c r="H62" s="26" t="s">
        <v>191</v>
      </c>
      <c r="I62" s="27" t="s">
        <v>126</v>
      </c>
      <c r="J62" s="27"/>
      <c r="K62" s="25" t="str">
        <f>"117,5"</f>
        <v>117,5</v>
      </c>
      <c r="L62" s="26" t="str">
        <f>"77,7556"</f>
        <v>77,7556</v>
      </c>
      <c r="M62" s="25"/>
    </row>
    <row r="63" spans="1:13">
      <c r="A63" s="25" t="s">
        <v>1015</v>
      </c>
      <c r="B63" s="26" t="s">
        <v>631</v>
      </c>
      <c r="C63" s="26" t="s">
        <v>632</v>
      </c>
      <c r="D63" s="26" t="str">
        <f>"0,6652"</f>
        <v>0,6652</v>
      </c>
      <c r="E63" s="25" t="s">
        <v>59</v>
      </c>
      <c r="F63" s="25" t="s">
        <v>60</v>
      </c>
      <c r="G63" s="26" t="s">
        <v>24</v>
      </c>
      <c r="H63" s="26" t="s">
        <v>25</v>
      </c>
      <c r="I63" s="27" t="s">
        <v>26</v>
      </c>
      <c r="J63" s="27"/>
      <c r="K63" s="25" t="str">
        <f>"105,0"</f>
        <v>105,0</v>
      </c>
      <c r="L63" s="26" t="str">
        <f>"69,8460"</f>
        <v>69,8460</v>
      </c>
      <c r="M63" s="25"/>
    </row>
    <row r="64" spans="1:13">
      <c r="A64" s="25" t="s">
        <v>1017</v>
      </c>
      <c r="B64" s="26" t="s">
        <v>1018</v>
      </c>
      <c r="C64" s="26" t="s">
        <v>1010</v>
      </c>
      <c r="D64" s="26" t="str">
        <f>"0,6535"</f>
        <v>0,6535</v>
      </c>
      <c r="E64" s="25" t="s">
        <v>341</v>
      </c>
      <c r="F64" s="25" t="s">
        <v>415</v>
      </c>
      <c r="G64" s="27" t="s">
        <v>322</v>
      </c>
      <c r="H64" s="26" t="s">
        <v>322</v>
      </c>
      <c r="I64" s="27" t="s">
        <v>199</v>
      </c>
      <c r="J64" s="27"/>
      <c r="K64" s="25" t="str">
        <f>"127,5"</f>
        <v>127,5</v>
      </c>
      <c r="L64" s="26" t="str">
        <f>"83,3149"</f>
        <v>83,3149</v>
      </c>
      <c r="M64" s="25"/>
    </row>
    <row r="65" spans="1:13">
      <c r="A65" s="25" t="s">
        <v>1020</v>
      </c>
      <c r="B65" s="26" t="s">
        <v>612</v>
      </c>
      <c r="C65" s="26" t="s">
        <v>1010</v>
      </c>
      <c r="D65" s="26" t="str">
        <f>"0,6535"</f>
        <v>0,6535</v>
      </c>
      <c r="E65" s="25" t="s">
        <v>18</v>
      </c>
      <c r="F65" s="25" t="s">
        <v>415</v>
      </c>
      <c r="G65" s="26" t="s">
        <v>142</v>
      </c>
      <c r="H65" s="26" t="s">
        <v>249</v>
      </c>
      <c r="I65" s="27" t="s">
        <v>169</v>
      </c>
      <c r="J65" s="27"/>
      <c r="K65" s="25" t="str">
        <f>"140,0"</f>
        <v>140,0</v>
      </c>
      <c r="L65" s="26" t="str">
        <f>"91,4830"</f>
        <v>91,4830</v>
      </c>
      <c r="M65" s="25"/>
    </row>
    <row r="66" spans="1:13">
      <c r="A66" s="25" t="s">
        <v>1021</v>
      </c>
      <c r="B66" s="26" t="s">
        <v>1022</v>
      </c>
      <c r="C66" s="26" t="s">
        <v>795</v>
      </c>
      <c r="D66" s="26" t="str">
        <f>"0,6513"</f>
        <v>0,6513</v>
      </c>
      <c r="E66" s="25" t="s">
        <v>18</v>
      </c>
      <c r="F66" s="25" t="s">
        <v>95</v>
      </c>
      <c r="G66" s="26" t="s">
        <v>25</v>
      </c>
      <c r="H66" s="27" t="s">
        <v>125</v>
      </c>
      <c r="I66" s="26" t="s">
        <v>125</v>
      </c>
      <c r="J66" s="27"/>
      <c r="K66" s="25" t="str">
        <f>"115,0"</f>
        <v>115,0</v>
      </c>
      <c r="L66" s="26" t="str">
        <f>"74,8995"</f>
        <v>74,8995</v>
      </c>
      <c r="M66" s="25"/>
    </row>
    <row r="67" spans="1:13">
      <c r="A67" s="25" t="s">
        <v>1023</v>
      </c>
      <c r="B67" s="26" t="s">
        <v>1024</v>
      </c>
      <c r="C67" s="26" t="s">
        <v>1025</v>
      </c>
      <c r="D67" s="26" t="str">
        <f>"0,6561"</f>
        <v>0,6561</v>
      </c>
      <c r="E67" s="25" t="s">
        <v>18</v>
      </c>
      <c r="F67" s="25" t="s">
        <v>1026</v>
      </c>
      <c r="G67" s="27" t="s">
        <v>322</v>
      </c>
      <c r="H67" s="27" t="s">
        <v>322</v>
      </c>
      <c r="I67" s="27" t="s">
        <v>322</v>
      </c>
      <c r="J67" s="27"/>
      <c r="K67" s="25" t="str">
        <f>"0.00"</f>
        <v>0.00</v>
      </c>
      <c r="L67" s="26" t="str">
        <f>"0,0000"</f>
        <v>0,0000</v>
      </c>
      <c r="M67" s="25"/>
    </row>
    <row r="68" spans="1:13">
      <c r="A68" s="25" t="s">
        <v>1028</v>
      </c>
      <c r="B68" s="26" t="s">
        <v>1029</v>
      </c>
      <c r="C68" s="26" t="s">
        <v>636</v>
      </c>
      <c r="D68" s="26" t="str">
        <f>"0,6471"</f>
        <v>0,6471</v>
      </c>
      <c r="E68" s="25" t="s">
        <v>18</v>
      </c>
      <c r="F68" s="25" t="s">
        <v>1030</v>
      </c>
      <c r="G68" s="26" t="s">
        <v>169</v>
      </c>
      <c r="H68" s="26" t="s">
        <v>136</v>
      </c>
      <c r="I68" s="27" t="s">
        <v>604</v>
      </c>
      <c r="J68" s="27"/>
      <c r="K68" s="25" t="str">
        <f>"150,0"</f>
        <v>150,0</v>
      </c>
      <c r="L68" s="26" t="str">
        <f>"98,0432"</f>
        <v>98,0432</v>
      </c>
      <c r="M68" s="25"/>
    </row>
    <row r="69" spans="1:13">
      <c r="A69" s="25" t="s">
        <v>1032</v>
      </c>
      <c r="B69" s="26" t="s">
        <v>1033</v>
      </c>
      <c r="C69" s="26" t="s">
        <v>309</v>
      </c>
      <c r="D69" s="26" t="str">
        <f>"0,6508"</f>
        <v>0,6508</v>
      </c>
      <c r="E69" s="25" t="s">
        <v>18</v>
      </c>
      <c r="F69" s="25" t="s">
        <v>350</v>
      </c>
      <c r="G69" s="26" t="s">
        <v>26</v>
      </c>
      <c r="H69" s="26" t="s">
        <v>126</v>
      </c>
      <c r="I69" s="27" t="s">
        <v>32</v>
      </c>
      <c r="J69" s="27"/>
      <c r="K69" s="25" t="str">
        <f>"120,0"</f>
        <v>120,0</v>
      </c>
      <c r="L69" s="26" t="str">
        <f>"82,3913"</f>
        <v>82,3913</v>
      </c>
      <c r="M69" s="25"/>
    </row>
    <row r="70" spans="1:13">
      <c r="A70" s="25" t="s">
        <v>1035</v>
      </c>
      <c r="B70" s="26" t="s">
        <v>1036</v>
      </c>
      <c r="C70" s="26" t="s">
        <v>1037</v>
      </c>
      <c r="D70" s="26" t="str">
        <f>"0,6793"</f>
        <v>0,6793</v>
      </c>
      <c r="E70" s="25" t="s">
        <v>18</v>
      </c>
      <c r="F70" s="25" t="s">
        <v>942</v>
      </c>
      <c r="G70" s="26" t="s">
        <v>63</v>
      </c>
      <c r="H70" s="26" t="s">
        <v>25</v>
      </c>
      <c r="I70" s="27" t="s">
        <v>26</v>
      </c>
      <c r="J70" s="27"/>
      <c r="K70" s="25" t="str">
        <f>"105,0"</f>
        <v>105,0</v>
      </c>
      <c r="L70" s="26" t="str">
        <f>"87,3750"</f>
        <v>87,3750</v>
      </c>
      <c r="M70" s="25" t="s">
        <v>1038</v>
      </c>
    </row>
    <row r="71" spans="1:13">
      <c r="A71" s="25" t="s">
        <v>1040</v>
      </c>
      <c r="B71" s="26" t="s">
        <v>1041</v>
      </c>
      <c r="C71" s="26" t="s">
        <v>650</v>
      </c>
      <c r="D71" s="26" t="str">
        <f>"0,6618"</f>
        <v>0,6618</v>
      </c>
      <c r="E71" s="25" t="s">
        <v>18</v>
      </c>
      <c r="F71" s="25" t="s">
        <v>1042</v>
      </c>
      <c r="G71" s="26" t="s">
        <v>32</v>
      </c>
      <c r="H71" s="26" t="s">
        <v>33</v>
      </c>
      <c r="I71" s="26" t="s">
        <v>142</v>
      </c>
      <c r="J71" s="27"/>
      <c r="K71" s="25" t="str">
        <f>"135,0"</f>
        <v>135,0</v>
      </c>
      <c r="L71" s="26" t="str">
        <f>"124,4454"</f>
        <v>124,4454</v>
      </c>
      <c r="M71" s="25"/>
    </row>
    <row r="72" spans="1:13">
      <c r="A72" s="29" t="s">
        <v>1043</v>
      </c>
      <c r="B72" s="28" t="s">
        <v>1044</v>
      </c>
      <c r="C72" s="28" t="s">
        <v>929</v>
      </c>
      <c r="D72" s="28" t="str">
        <f>"0,6497"</f>
        <v>0,6497</v>
      </c>
      <c r="E72" s="29" t="s">
        <v>18</v>
      </c>
      <c r="F72" s="29" t="s">
        <v>95</v>
      </c>
      <c r="G72" s="30" t="s">
        <v>249</v>
      </c>
      <c r="H72" s="30" t="s">
        <v>249</v>
      </c>
      <c r="I72" s="30" t="s">
        <v>249</v>
      </c>
      <c r="J72" s="30"/>
      <c r="K72" s="29" t="str">
        <f>"0.00"</f>
        <v>0.00</v>
      </c>
      <c r="L72" s="28" t="str">
        <f>"0,0000"</f>
        <v>0,0000</v>
      </c>
      <c r="M72" s="29"/>
    </row>
    <row r="74" spans="1:13" ht="15">
      <c r="A74" s="47" t="s">
        <v>144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</row>
    <row r="75" spans="1:13">
      <c r="A75" s="22" t="s">
        <v>786</v>
      </c>
      <c r="B75" s="23" t="s">
        <v>787</v>
      </c>
      <c r="C75" s="23" t="s">
        <v>320</v>
      </c>
      <c r="D75" s="23" t="str">
        <f>"0,6205"</f>
        <v>0,6205</v>
      </c>
      <c r="E75" s="22" t="s">
        <v>59</v>
      </c>
      <c r="F75" s="22" t="s">
        <v>60</v>
      </c>
      <c r="G75" s="23" t="s">
        <v>591</v>
      </c>
      <c r="H75" s="23" t="s">
        <v>61</v>
      </c>
      <c r="I75" s="23" t="s">
        <v>294</v>
      </c>
      <c r="J75" s="24"/>
      <c r="K75" s="22" t="str">
        <f>"62,5"</f>
        <v>62,5</v>
      </c>
      <c r="L75" s="23" t="str">
        <f>"38,7813"</f>
        <v>38,7813</v>
      </c>
      <c r="M75" s="22"/>
    </row>
    <row r="76" spans="1:13">
      <c r="A76" s="25" t="s">
        <v>1046</v>
      </c>
      <c r="B76" s="26" t="s">
        <v>1047</v>
      </c>
      <c r="C76" s="26" t="s">
        <v>1048</v>
      </c>
      <c r="D76" s="26" t="str">
        <f>"0,6137"</f>
        <v>0,6137</v>
      </c>
      <c r="E76" s="25" t="s">
        <v>18</v>
      </c>
      <c r="F76" s="25" t="s">
        <v>1049</v>
      </c>
      <c r="G76" s="26" t="s">
        <v>117</v>
      </c>
      <c r="H76" s="26" t="s">
        <v>179</v>
      </c>
      <c r="I76" s="26" t="s">
        <v>118</v>
      </c>
      <c r="J76" s="27"/>
      <c r="K76" s="25" t="str">
        <f>"180,0"</f>
        <v>180,0</v>
      </c>
      <c r="L76" s="26" t="str">
        <f>"110,4750"</f>
        <v>110,4750</v>
      </c>
      <c r="M76" s="25"/>
    </row>
    <row r="77" spans="1:13">
      <c r="A77" s="25" t="s">
        <v>1051</v>
      </c>
      <c r="B77" s="26" t="s">
        <v>1052</v>
      </c>
      <c r="C77" s="26" t="s">
        <v>1053</v>
      </c>
      <c r="D77" s="26" t="str">
        <f>"0,6188"</f>
        <v>0,6188</v>
      </c>
      <c r="E77" s="25" t="s">
        <v>18</v>
      </c>
      <c r="F77" s="25" t="s">
        <v>95</v>
      </c>
      <c r="G77" s="26" t="s">
        <v>136</v>
      </c>
      <c r="H77" s="26" t="s">
        <v>170</v>
      </c>
      <c r="I77" s="26" t="s">
        <v>604</v>
      </c>
      <c r="J77" s="27"/>
      <c r="K77" s="25" t="str">
        <f>"157,5"</f>
        <v>157,5</v>
      </c>
      <c r="L77" s="26" t="str">
        <f>"97,4689"</f>
        <v>97,4689</v>
      </c>
      <c r="M77" s="25"/>
    </row>
    <row r="78" spans="1:13">
      <c r="A78" s="25" t="s">
        <v>1055</v>
      </c>
      <c r="B78" s="26" t="s">
        <v>1056</v>
      </c>
      <c r="C78" s="26" t="s">
        <v>1057</v>
      </c>
      <c r="D78" s="26" t="str">
        <f>"0,6299"</f>
        <v>0,6299</v>
      </c>
      <c r="E78" s="25" t="s">
        <v>18</v>
      </c>
      <c r="F78" s="25" t="s">
        <v>95</v>
      </c>
      <c r="G78" s="26" t="s">
        <v>199</v>
      </c>
      <c r="H78" s="26" t="s">
        <v>38</v>
      </c>
      <c r="I78" s="26" t="s">
        <v>170</v>
      </c>
      <c r="J78" s="27"/>
      <c r="K78" s="25" t="str">
        <f>"155,0"</f>
        <v>155,0</v>
      </c>
      <c r="L78" s="26" t="str">
        <f>"97,6345"</f>
        <v>97,6345</v>
      </c>
      <c r="M78" s="25"/>
    </row>
    <row r="79" spans="1:13">
      <c r="A79" s="25" t="s">
        <v>1059</v>
      </c>
      <c r="B79" s="26" t="s">
        <v>1060</v>
      </c>
      <c r="C79" s="26" t="s">
        <v>1061</v>
      </c>
      <c r="D79" s="26" t="str">
        <f>"0,6222"</f>
        <v>0,6222</v>
      </c>
      <c r="E79" s="25" t="s">
        <v>18</v>
      </c>
      <c r="F79" s="25" t="s">
        <v>1062</v>
      </c>
      <c r="G79" s="26" t="s">
        <v>199</v>
      </c>
      <c r="H79" s="26" t="s">
        <v>249</v>
      </c>
      <c r="I79" s="27" t="s">
        <v>38</v>
      </c>
      <c r="J79" s="27"/>
      <c r="K79" s="25" t="str">
        <f>"140,0"</f>
        <v>140,0</v>
      </c>
      <c r="L79" s="26" t="str">
        <f>"87,1010"</f>
        <v>87,1010</v>
      </c>
      <c r="M79" s="25"/>
    </row>
    <row r="80" spans="1:13">
      <c r="A80" s="25" t="s">
        <v>1064</v>
      </c>
      <c r="B80" s="26" t="s">
        <v>1065</v>
      </c>
      <c r="C80" s="26" t="s">
        <v>1053</v>
      </c>
      <c r="D80" s="26" t="str">
        <f>"0,6188"</f>
        <v>0,6188</v>
      </c>
      <c r="E80" s="25" t="s">
        <v>18</v>
      </c>
      <c r="F80" s="25" t="s">
        <v>95</v>
      </c>
      <c r="G80" s="26" t="s">
        <v>126</v>
      </c>
      <c r="H80" s="26" t="s">
        <v>199</v>
      </c>
      <c r="I80" s="26" t="s">
        <v>142</v>
      </c>
      <c r="J80" s="27"/>
      <c r="K80" s="25" t="str">
        <f>"135,0"</f>
        <v>135,0</v>
      </c>
      <c r="L80" s="26" t="str">
        <f>"83,5447"</f>
        <v>83,5447</v>
      </c>
      <c r="M80" s="25"/>
    </row>
    <row r="81" spans="1:13">
      <c r="A81" s="25" t="s">
        <v>1066</v>
      </c>
      <c r="B81" s="26" t="s">
        <v>1067</v>
      </c>
      <c r="C81" s="26" t="s">
        <v>1068</v>
      </c>
      <c r="D81" s="26" t="str">
        <f>"0,6209"</f>
        <v>0,6209</v>
      </c>
      <c r="E81" s="25" t="s">
        <v>18</v>
      </c>
      <c r="F81" s="25" t="s">
        <v>95</v>
      </c>
      <c r="G81" s="27" t="s">
        <v>38</v>
      </c>
      <c r="H81" s="27" t="s">
        <v>38</v>
      </c>
      <c r="I81" s="27" t="s">
        <v>38</v>
      </c>
      <c r="J81" s="27"/>
      <c r="K81" s="25" t="str">
        <f>"0.00"</f>
        <v>0.00</v>
      </c>
      <c r="L81" s="26" t="str">
        <f>"0,0000"</f>
        <v>0,0000</v>
      </c>
      <c r="M81" s="25"/>
    </row>
    <row r="82" spans="1:13">
      <c r="A82" s="25" t="s">
        <v>1069</v>
      </c>
      <c r="B82" s="26" t="s">
        <v>1070</v>
      </c>
      <c r="C82" s="26" t="s">
        <v>1071</v>
      </c>
      <c r="D82" s="26" t="str">
        <f>"0,6181"</f>
        <v>0,6181</v>
      </c>
      <c r="E82" s="25" t="s">
        <v>18</v>
      </c>
      <c r="F82" s="25" t="s">
        <v>95</v>
      </c>
      <c r="G82" s="27" t="s">
        <v>142</v>
      </c>
      <c r="H82" s="27" t="s">
        <v>142</v>
      </c>
      <c r="I82" s="27" t="s">
        <v>142</v>
      </c>
      <c r="J82" s="27"/>
      <c r="K82" s="25" t="str">
        <f>"0.00"</f>
        <v>0.00</v>
      </c>
      <c r="L82" s="26" t="str">
        <f>"0,0000"</f>
        <v>0,0000</v>
      </c>
      <c r="M82" s="25"/>
    </row>
    <row r="83" spans="1:13">
      <c r="A83" s="29" t="s">
        <v>1073</v>
      </c>
      <c r="B83" s="28" t="s">
        <v>1074</v>
      </c>
      <c r="C83" s="28" t="s">
        <v>1075</v>
      </c>
      <c r="D83" s="28" t="str">
        <f>"0,6263"</f>
        <v>0,6263</v>
      </c>
      <c r="E83" s="29" t="s">
        <v>18</v>
      </c>
      <c r="F83" s="29" t="s">
        <v>1076</v>
      </c>
      <c r="G83" s="28" t="s">
        <v>26</v>
      </c>
      <c r="H83" s="28" t="s">
        <v>126</v>
      </c>
      <c r="I83" s="30" t="s">
        <v>33</v>
      </c>
      <c r="J83" s="30"/>
      <c r="K83" s="29" t="str">
        <f>"120,0"</f>
        <v>120,0</v>
      </c>
      <c r="L83" s="28" t="str">
        <f>"75,1620"</f>
        <v>75,1620</v>
      </c>
      <c r="M83" s="29"/>
    </row>
    <row r="85" spans="1:13" ht="15">
      <c r="A85" s="47" t="s">
        <v>161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1:13">
      <c r="A86" s="22" t="s">
        <v>1078</v>
      </c>
      <c r="B86" s="23" t="s">
        <v>1079</v>
      </c>
      <c r="C86" s="23" t="s">
        <v>1080</v>
      </c>
      <c r="D86" s="23" t="str">
        <f>"0,5856"</f>
        <v>0,5856</v>
      </c>
      <c r="E86" s="22" t="s">
        <v>18</v>
      </c>
      <c r="F86" s="22" t="s">
        <v>406</v>
      </c>
      <c r="G86" s="23" t="s">
        <v>24</v>
      </c>
      <c r="H86" s="23" t="s">
        <v>97</v>
      </c>
      <c r="I86" s="24" t="s">
        <v>25</v>
      </c>
      <c r="J86" s="24"/>
      <c r="K86" s="22" t="str">
        <f>"102,5"</f>
        <v>102,5</v>
      </c>
      <c r="L86" s="23" t="str">
        <f>"60,0240"</f>
        <v>60,0240</v>
      </c>
      <c r="M86" s="22"/>
    </row>
    <row r="87" spans="1:13">
      <c r="A87" s="25" t="s">
        <v>1082</v>
      </c>
      <c r="B87" s="26" t="s">
        <v>1083</v>
      </c>
      <c r="C87" s="26" t="s">
        <v>1084</v>
      </c>
      <c r="D87" s="26" t="str">
        <f>"0,5932"</f>
        <v>0,5932</v>
      </c>
      <c r="E87" s="25" t="s">
        <v>18</v>
      </c>
      <c r="F87" s="25" t="s">
        <v>95</v>
      </c>
      <c r="G87" s="26" t="s">
        <v>170</v>
      </c>
      <c r="H87" s="26" t="s">
        <v>250</v>
      </c>
      <c r="I87" s="26" t="s">
        <v>178</v>
      </c>
      <c r="J87" s="27"/>
      <c r="K87" s="25" t="str">
        <f>"165,0"</f>
        <v>165,0</v>
      </c>
      <c r="L87" s="26" t="str">
        <f>"97,8698"</f>
        <v>97,8698</v>
      </c>
      <c r="M87" s="25"/>
    </row>
    <row r="88" spans="1:13">
      <c r="A88" s="25" t="s">
        <v>1086</v>
      </c>
      <c r="B88" s="26" t="s">
        <v>1087</v>
      </c>
      <c r="C88" s="26" t="s">
        <v>1088</v>
      </c>
      <c r="D88" s="26" t="str">
        <f>"0,5816"</f>
        <v>0,5816</v>
      </c>
      <c r="E88" s="25" t="s">
        <v>18</v>
      </c>
      <c r="F88" s="25" t="s">
        <v>1089</v>
      </c>
      <c r="G88" s="26" t="s">
        <v>78</v>
      </c>
      <c r="H88" s="26" t="s">
        <v>156</v>
      </c>
      <c r="I88" s="26" t="s">
        <v>119</v>
      </c>
      <c r="J88" s="27"/>
      <c r="K88" s="25" t="str">
        <f>"200,0"</f>
        <v>200,0</v>
      </c>
      <c r="L88" s="26" t="str">
        <f>"116,3100"</f>
        <v>116,3100</v>
      </c>
      <c r="M88" s="25"/>
    </row>
    <row r="89" spans="1:13">
      <c r="A89" s="25" t="s">
        <v>1091</v>
      </c>
      <c r="B89" s="26" t="s">
        <v>1092</v>
      </c>
      <c r="C89" s="26" t="s">
        <v>1093</v>
      </c>
      <c r="D89" s="26" t="str">
        <f>"0,5917"</f>
        <v>0,5917</v>
      </c>
      <c r="E89" s="25" t="s">
        <v>18</v>
      </c>
      <c r="F89" s="25" t="s">
        <v>1094</v>
      </c>
      <c r="G89" s="26" t="s">
        <v>124</v>
      </c>
      <c r="H89" s="26" t="s">
        <v>117</v>
      </c>
      <c r="I89" s="26" t="s">
        <v>416</v>
      </c>
      <c r="J89" s="27"/>
      <c r="K89" s="25" t="str">
        <f>"172,5"</f>
        <v>172,5</v>
      </c>
      <c r="L89" s="26" t="str">
        <f>"102,0596"</f>
        <v>102,0596</v>
      </c>
      <c r="M89" s="25"/>
    </row>
    <row r="90" spans="1:13">
      <c r="A90" s="25" t="s">
        <v>1096</v>
      </c>
      <c r="B90" s="26" t="s">
        <v>1097</v>
      </c>
      <c r="C90" s="26" t="s">
        <v>1098</v>
      </c>
      <c r="D90" s="26" t="str">
        <f>"0,6010"</f>
        <v>0,6010</v>
      </c>
      <c r="E90" s="25" t="s">
        <v>18</v>
      </c>
      <c r="F90" s="25" t="s">
        <v>1099</v>
      </c>
      <c r="G90" s="27" t="s">
        <v>124</v>
      </c>
      <c r="H90" s="26" t="s">
        <v>124</v>
      </c>
      <c r="I90" s="27" t="s">
        <v>178</v>
      </c>
      <c r="J90" s="27"/>
      <c r="K90" s="25" t="str">
        <f>"160,0"</f>
        <v>160,0</v>
      </c>
      <c r="L90" s="26" t="str">
        <f>"96,1520"</f>
        <v>96,1520</v>
      </c>
      <c r="M90" s="25"/>
    </row>
    <row r="91" spans="1:13">
      <c r="A91" s="25" t="s">
        <v>1101</v>
      </c>
      <c r="B91" s="26" t="s">
        <v>1102</v>
      </c>
      <c r="C91" s="26" t="s">
        <v>671</v>
      </c>
      <c r="D91" s="26" t="str">
        <f>"0,5838"</f>
        <v>0,5838</v>
      </c>
      <c r="E91" s="25" t="s">
        <v>18</v>
      </c>
      <c r="F91" s="25" t="s">
        <v>1103</v>
      </c>
      <c r="G91" s="26" t="s">
        <v>136</v>
      </c>
      <c r="H91" s="26" t="s">
        <v>604</v>
      </c>
      <c r="I91" s="27" t="s">
        <v>250</v>
      </c>
      <c r="J91" s="27"/>
      <c r="K91" s="25" t="str">
        <f>"157,5"</f>
        <v>157,5</v>
      </c>
      <c r="L91" s="26" t="str">
        <f>"91,9485"</f>
        <v>91,9485</v>
      </c>
      <c r="M91" s="25"/>
    </row>
    <row r="92" spans="1:13">
      <c r="A92" s="25" t="s">
        <v>1105</v>
      </c>
      <c r="B92" s="26" t="s">
        <v>1106</v>
      </c>
      <c r="C92" s="26" t="s">
        <v>1107</v>
      </c>
      <c r="D92" s="26" t="str">
        <f>"0,5848"</f>
        <v>0,5848</v>
      </c>
      <c r="E92" s="25" t="s">
        <v>18</v>
      </c>
      <c r="F92" s="25" t="s">
        <v>95</v>
      </c>
      <c r="G92" s="26" t="s">
        <v>170</v>
      </c>
      <c r="H92" s="27" t="s">
        <v>250</v>
      </c>
      <c r="I92" s="27" t="s">
        <v>250</v>
      </c>
      <c r="J92" s="27"/>
      <c r="K92" s="25" t="str">
        <f>"155,0"</f>
        <v>155,0</v>
      </c>
      <c r="L92" s="26" t="str">
        <f>"90,6440"</f>
        <v>90,6440</v>
      </c>
      <c r="M92" s="25"/>
    </row>
    <row r="93" spans="1:13">
      <c r="A93" s="25" t="s">
        <v>1109</v>
      </c>
      <c r="B93" s="26" t="s">
        <v>1110</v>
      </c>
      <c r="C93" s="26" t="s">
        <v>1111</v>
      </c>
      <c r="D93" s="26" t="str">
        <f>"0,6016"</f>
        <v>0,6016</v>
      </c>
      <c r="E93" s="25" t="s">
        <v>18</v>
      </c>
      <c r="F93" s="25" t="s">
        <v>95</v>
      </c>
      <c r="G93" s="26" t="s">
        <v>126</v>
      </c>
      <c r="H93" s="26" t="s">
        <v>249</v>
      </c>
      <c r="I93" s="27" t="s">
        <v>124</v>
      </c>
      <c r="J93" s="27"/>
      <c r="K93" s="25" t="str">
        <f>"140,0"</f>
        <v>140,0</v>
      </c>
      <c r="L93" s="26" t="str">
        <f>"84,2240"</f>
        <v>84,2240</v>
      </c>
      <c r="M93" s="25"/>
    </row>
    <row r="94" spans="1:13">
      <c r="A94" s="25" t="s">
        <v>1112</v>
      </c>
      <c r="B94" s="26" t="s">
        <v>1113</v>
      </c>
      <c r="C94" s="26" t="s">
        <v>1114</v>
      </c>
      <c r="D94" s="26" t="str">
        <f>"0,5914"</f>
        <v>0,5914</v>
      </c>
      <c r="E94" s="25" t="s">
        <v>18</v>
      </c>
      <c r="F94" s="25" t="s">
        <v>95</v>
      </c>
      <c r="G94" s="26" t="s">
        <v>249</v>
      </c>
      <c r="H94" s="27" t="s">
        <v>169</v>
      </c>
      <c r="I94" s="27" t="s">
        <v>169</v>
      </c>
      <c r="J94" s="27"/>
      <c r="K94" s="25" t="str">
        <f>"140,0"</f>
        <v>140,0</v>
      </c>
      <c r="L94" s="26" t="str">
        <f>"82,7960"</f>
        <v>82,7960</v>
      </c>
      <c r="M94" s="25"/>
    </row>
    <row r="95" spans="1:13">
      <c r="A95" s="25" t="s">
        <v>1116</v>
      </c>
      <c r="B95" s="26" t="s">
        <v>1117</v>
      </c>
      <c r="C95" s="26" t="s">
        <v>1118</v>
      </c>
      <c r="D95" s="26" t="str">
        <f>"0,5885"</f>
        <v>0,5885</v>
      </c>
      <c r="E95" s="25" t="s">
        <v>18</v>
      </c>
      <c r="F95" s="25" t="s">
        <v>1119</v>
      </c>
      <c r="G95" s="26" t="s">
        <v>249</v>
      </c>
      <c r="H95" s="27"/>
      <c r="I95" s="27"/>
      <c r="J95" s="27"/>
      <c r="K95" s="25" t="str">
        <f>"140,0"</f>
        <v>140,0</v>
      </c>
      <c r="L95" s="26" t="str">
        <f>"82,3970"</f>
        <v>82,3970</v>
      </c>
      <c r="M95" s="25"/>
    </row>
    <row r="96" spans="1:13">
      <c r="A96" s="25" t="s">
        <v>1120</v>
      </c>
      <c r="B96" s="26" t="s">
        <v>1121</v>
      </c>
      <c r="C96" s="26" t="s">
        <v>1122</v>
      </c>
      <c r="D96" s="26" t="str">
        <f>"0,5859"</f>
        <v>0,5859</v>
      </c>
      <c r="E96" s="25" t="s">
        <v>18</v>
      </c>
      <c r="F96" s="25" t="s">
        <v>915</v>
      </c>
      <c r="G96" s="26" t="s">
        <v>33</v>
      </c>
      <c r="H96" s="27" t="s">
        <v>249</v>
      </c>
      <c r="I96" s="27" t="s">
        <v>249</v>
      </c>
      <c r="J96" s="27"/>
      <c r="K96" s="25" t="str">
        <f>"130,0"</f>
        <v>130,0</v>
      </c>
      <c r="L96" s="26" t="str">
        <f>"76,1605"</f>
        <v>76,1605</v>
      </c>
      <c r="M96" s="25"/>
    </row>
    <row r="97" spans="1:13">
      <c r="A97" s="25" t="s">
        <v>1124</v>
      </c>
      <c r="B97" s="26" t="s">
        <v>1125</v>
      </c>
      <c r="C97" s="26" t="s">
        <v>1126</v>
      </c>
      <c r="D97" s="26" t="str">
        <f>"0,5889"</f>
        <v>0,5889</v>
      </c>
      <c r="E97" s="25" t="s">
        <v>18</v>
      </c>
      <c r="F97" s="25" t="s">
        <v>963</v>
      </c>
      <c r="G97" s="26" t="s">
        <v>117</v>
      </c>
      <c r="H97" s="26" t="s">
        <v>118</v>
      </c>
      <c r="I97" s="26" t="s">
        <v>149</v>
      </c>
      <c r="J97" s="27"/>
      <c r="K97" s="25" t="str">
        <f>"190,0"</f>
        <v>190,0</v>
      </c>
      <c r="L97" s="26" t="str">
        <f>"122,7340"</f>
        <v>122,7340</v>
      </c>
      <c r="M97" s="25"/>
    </row>
    <row r="98" spans="1:13">
      <c r="A98" s="25" t="s">
        <v>1128</v>
      </c>
      <c r="B98" s="26" t="s">
        <v>1129</v>
      </c>
      <c r="C98" s="26" t="s">
        <v>1130</v>
      </c>
      <c r="D98" s="26" t="str">
        <f>"0,6061"</f>
        <v>0,6061</v>
      </c>
      <c r="E98" s="25" t="s">
        <v>18</v>
      </c>
      <c r="F98" s="25" t="s">
        <v>95</v>
      </c>
      <c r="G98" s="26" t="s">
        <v>33</v>
      </c>
      <c r="H98" s="26" t="s">
        <v>249</v>
      </c>
      <c r="I98" s="26" t="s">
        <v>169</v>
      </c>
      <c r="J98" s="27"/>
      <c r="K98" s="25" t="str">
        <f>"145,0"</f>
        <v>145,0</v>
      </c>
      <c r="L98" s="26" t="str">
        <f>"92,7105"</f>
        <v>92,7105</v>
      </c>
      <c r="M98" s="25"/>
    </row>
    <row r="99" spans="1:13">
      <c r="A99" s="25" t="s">
        <v>1132</v>
      </c>
      <c r="B99" s="26" t="s">
        <v>1133</v>
      </c>
      <c r="C99" s="26" t="s">
        <v>1088</v>
      </c>
      <c r="D99" s="26" t="str">
        <f>"0,5816"</f>
        <v>0,5816</v>
      </c>
      <c r="E99" s="25" t="s">
        <v>18</v>
      </c>
      <c r="F99" s="25" t="s">
        <v>1134</v>
      </c>
      <c r="G99" s="26" t="s">
        <v>366</v>
      </c>
      <c r="H99" s="26" t="s">
        <v>169</v>
      </c>
      <c r="I99" s="26" t="s">
        <v>136</v>
      </c>
      <c r="J99" s="27"/>
      <c r="K99" s="25" t="str">
        <f>"150,0"</f>
        <v>150,0</v>
      </c>
      <c r="L99" s="26" t="str">
        <f>"106,8598"</f>
        <v>106,8598</v>
      </c>
      <c r="M99" s="25"/>
    </row>
    <row r="100" spans="1:13">
      <c r="A100" s="29" t="s">
        <v>1135</v>
      </c>
      <c r="B100" s="28" t="s">
        <v>1136</v>
      </c>
      <c r="C100" s="28" t="s">
        <v>1093</v>
      </c>
      <c r="D100" s="28" t="str">
        <f>"0,5917"</f>
        <v>0,5917</v>
      </c>
      <c r="E100" s="29" t="s">
        <v>18</v>
      </c>
      <c r="F100" s="29" t="s">
        <v>1094</v>
      </c>
      <c r="G100" s="28" t="s">
        <v>124</v>
      </c>
      <c r="H100" s="28" t="s">
        <v>117</v>
      </c>
      <c r="I100" s="28" t="s">
        <v>416</v>
      </c>
      <c r="J100" s="30"/>
      <c r="K100" s="29" t="str">
        <f>"172,5"</f>
        <v>172,5</v>
      </c>
      <c r="L100" s="28" t="str">
        <f>"139,4134"</f>
        <v>139,4134</v>
      </c>
      <c r="M100" s="29"/>
    </row>
    <row r="102" spans="1:13" ht="15">
      <c r="A102" s="47" t="s">
        <v>184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</row>
    <row r="103" spans="1:13">
      <c r="A103" s="22" t="s">
        <v>1138</v>
      </c>
      <c r="B103" s="23" t="s">
        <v>1139</v>
      </c>
      <c r="C103" s="23" t="s">
        <v>1140</v>
      </c>
      <c r="D103" s="23" t="str">
        <f>"0,5674"</f>
        <v>0,5674</v>
      </c>
      <c r="E103" s="22" t="s">
        <v>18</v>
      </c>
      <c r="F103" s="22" t="s">
        <v>1099</v>
      </c>
      <c r="G103" s="23" t="s">
        <v>117</v>
      </c>
      <c r="H103" s="23" t="s">
        <v>251</v>
      </c>
      <c r="I103" s="24" t="s">
        <v>263</v>
      </c>
      <c r="J103" s="24"/>
      <c r="K103" s="22" t="str">
        <f>"177,5"</f>
        <v>177,5</v>
      </c>
      <c r="L103" s="23" t="str">
        <f>"100,7224"</f>
        <v>100,7224</v>
      </c>
      <c r="M103" s="22"/>
    </row>
    <row r="104" spans="1:13">
      <c r="A104" s="25" t="s">
        <v>1142</v>
      </c>
      <c r="B104" s="26" t="s">
        <v>1143</v>
      </c>
      <c r="C104" s="26" t="s">
        <v>1144</v>
      </c>
      <c r="D104" s="26" t="str">
        <f>"0,5677"</f>
        <v>0,5677</v>
      </c>
      <c r="E104" s="25" t="s">
        <v>18</v>
      </c>
      <c r="F104" s="25" t="s">
        <v>95</v>
      </c>
      <c r="G104" s="26" t="s">
        <v>199</v>
      </c>
      <c r="H104" s="27" t="s">
        <v>249</v>
      </c>
      <c r="I104" s="27" t="s">
        <v>689</v>
      </c>
      <c r="J104" s="27"/>
      <c r="K104" s="25" t="str">
        <f>"132,5"</f>
        <v>132,5</v>
      </c>
      <c r="L104" s="26" t="str">
        <f>"77,5453"</f>
        <v>77,5453</v>
      </c>
      <c r="M104" s="25"/>
    </row>
    <row r="105" spans="1:13">
      <c r="A105" s="25" t="s">
        <v>1145</v>
      </c>
      <c r="B105" s="26" t="s">
        <v>1146</v>
      </c>
      <c r="C105" s="26" t="s">
        <v>1147</v>
      </c>
      <c r="D105" s="26" t="str">
        <f>"0,5671"</f>
        <v>0,5671</v>
      </c>
      <c r="E105" s="25" t="s">
        <v>18</v>
      </c>
      <c r="F105" s="25" t="s">
        <v>942</v>
      </c>
      <c r="G105" s="26" t="s">
        <v>136</v>
      </c>
      <c r="H105" s="26" t="s">
        <v>38</v>
      </c>
      <c r="I105" s="26" t="s">
        <v>170</v>
      </c>
      <c r="J105" s="27"/>
      <c r="K105" s="25" t="str">
        <f>"155,0"</f>
        <v>155,0</v>
      </c>
      <c r="L105" s="26" t="str">
        <f>"104,0742"</f>
        <v>104,0742</v>
      </c>
      <c r="M105" s="25"/>
    </row>
    <row r="106" spans="1:13">
      <c r="A106" s="29" t="s">
        <v>1149</v>
      </c>
      <c r="B106" s="28" t="s">
        <v>1150</v>
      </c>
      <c r="C106" s="28" t="s">
        <v>394</v>
      </c>
      <c r="D106" s="28" t="str">
        <f>"0,5701"</f>
        <v>0,5701</v>
      </c>
      <c r="E106" s="29" t="s">
        <v>18</v>
      </c>
      <c r="F106" s="29" t="s">
        <v>1151</v>
      </c>
      <c r="G106" s="28" t="s">
        <v>199</v>
      </c>
      <c r="H106" s="28" t="s">
        <v>366</v>
      </c>
      <c r="I106" s="30" t="s">
        <v>249</v>
      </c>
      <c r="J106" s="30"/>
      <c r="K106" s="29" t="str">
        <f>"137,5"</f>
        <v>137,5</v>
      </c>
      <c r="L106" s="28" t="str">
        <f>"99,3969"</f>
        <v>99,3969</v>
      </c>
      <c r="M106" s="29"/>
    </row>
    <row r="108" spans="1:13" ht="15">
      <c r="A108" s="47" t="s">
        <v>421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3">
      <c r="A109" s="22" t="s">
        <v>1153</v>
      </c>
      <c r="B109" s="23" t="s">
        <v>1154</v>
      </c>
      <c r="C109" s="23" t="s">
        <v>1155</v>
      </c>
      <c r="D109" s="23" t="str">
        <f>"0,5477"</f>
        <v>0,5477</v>
      </c>
      <c r="E109" s="22" t="s">
        <v>18</v>
      </c>
      <c r="F109" s="22" t="s">
        <v>406</v>
      </c>
      <c r="G109" s="23" t="s">
        <v>38</v>
      </c>
      <c r="H109" s="24" t="s">
        <v>250</v>
      </c>
      <c r="I109" s="24" t="s">
        <v>250</v>
      </c>
      <c r="J109" s="24"/>
      <c r="K109" s="22" t="str">
        <f>"152,5"</f>
        <v>152,5</v>
      </c>
      <c r="L109" s="23" t="str">
        <f>"83,5319"</f>
        <v>83,5319</v>
      </c>
      <c r="M109" s="22"/>
    </row>
    <row r="110" spans="1:13">
      <c r="A110" s="25" t="s">
        <v>1157</v>
      </c>
      <c r="B110" s="26" t="s">
        <v>1158</v>
      </c>
      <c r="C110" s="26" t="s">
        <v>1159</v>
      </c>
      <c r="D110" s="26" t="str">
        <f>"0,5618"</f>
        <v>0,5618</v>
      </c>
      <c r="E110" s="25" t="s">
        <v>18</v>
      </c>
      <c r="F110" s="25" t="s">
        <v>1160</v>
      </c>
      <c r="G110" s="26" t="s">
        <v>156</v>
      </c>
      <c r="H110" s="26" t="s">
        <v>128</v>
      </c>
      <c r="I110" s="27" t="s">
        <v>150</v>
      </c>
      <c r="J110" s="27"/>
      <c r="K110" s="25" t="str">
        <f>"205,0"</f>
        <v>205,0</v>
      </c>
      <c r="L110" s="26" t="str">
        <f>"115,1690"</f>
        <v>115,1690</v>
      </c>
      <c r="M110" s="25"/>
    </row>
    <row r="111" spans="1:13">
      <c r="A111" s="25" t="s">
        <v>1162</v>
      </c>
      <c r="B111" s="26" t="s">
        <v>1163</v>
      </c>
      <c r="C111" s="26" t="s">
        <v>1164</v>
      </c>
      <c r="D111" s="26" t="str">
        <f>"0,5537"</f>
        <v>0,5537</v>
      </c>
      <c r="E111" s="25" t="s">
        <v>18</v>
      </c>
      <c r="F111" s="25" t="s">
        <v>1165</v>
      </c>
      <c r="G111" s="26" t="s">
        <v>149</v>
      </c>
      <c r="H111" s="26" t="s">
        <v>156</v>
      </c>
      <c r="I111" s="26" t="s">
        <v>697</v>
      </c>
      <c r="J111" s="27"/>
      <c r="K111" s="25" t="str">
        <f>"202,5"</f>
        <v>202,5</v>
      </c>
      <c r="L111" s="26" t="str">
        <f>"112,1141"</f>
        <v>112,1141</v>
      </c>
      <c r="M111" s="25"/>
    </row>
    <row r="112" spans="1:13">
      <c r="A112" s="25" t="s">
        <v>1167</v>
      </c>
      <c r="B112" s="26" t="s">
        <v>1168</v>
      </c>
      <c r="C112" s="26" t="s">
        <v>1169</v>
      </c>
      <c r="D112" s="26" t="str">
        <f>"0,5561"</f>
        <v>0,5561</v>
      </c>
      <c r="E112" s="25" t="s">
        <v>18</v>
      </c>
      <c r="F112" s="25" t="s">
        <v>1170</v>
      </c>
      <c r="G112" s="26" t="s">
        <v>416</v>
      </c>
      <c r="H112" s="26" t="s">
        <v>251</v>
      </c>
      <c r="I112" s="26" t="s">
        <v>118</v>
      </c>
      <c r="J112" s="27"/>
      <c r="K112" s="25" t="str">
        <f>"180,0"</f>
        <v>180,0</v>
      </c>
      <c r="L112" s="26" t="str">
        <f>"100,0980"</f>
        <v>100,0980</v>
      </c>
      <c r="M112" s="25"/>
    </row>
    <row r="113" spans="1:13">
      <c r="A113" s="25" t="s">
        <v>1172</v>
      </c>
      <c r="B113" s="26" t="s">
        <v>1173</v>
      </c>
      <c r="C113" s="26" t="s">
        <v>1174</v>
      </c>
      <c r="D113" s="26" t="str">
        <f>"0,5612"</f>
        <v>0,5612</v>
      </c>
      <c r="E113" s="25" t="s">
        <v>18</v>
      </c>
      <c r="F113" s="25" t="s">
        <v>95</v>
      </c>
      <c r="G113" s="27" t="s">
        <v>249</v>
      </c>
      <c r="H113" s="27" t="s">
        <v>249</v>
      </c>
      <c r="I113" s="27" t="s">
        <v>249</v>
      </c>
      <c r="J113" s="27"/>
      <c r="K113" s="25" t="str">
        <f>"0.00"</f>
        <v>0.00</v>
      </c>
      <c r="L113" s="26" t="str">
        <f>"0,0000"</f>
        <v>0,0000</v>
      </c>
      <c r="M113" s="25"/>
    </row>
    <row r="114" spans="1:13">
      <c r="A114" s="25" t="s">
        <v>1176</v>
      </c>
      <c r="B114" s="26" t="s">
        <v>1177</v>
      </c>
      <c r="C114" s="26" t="s">
        <v>1178</v>
      </c>
      <c r="D114" s="26" t="str">
        <f>"0,5594"</f>
        <v>0,5594</v>
      </c>
      <c r="E114" s="25" t="s">
        <v>18</v>
      </c>
      <c r="F114" s="25" t="s">
        <v>95</v>
      </c>
      <c r="G114" s="26" t="s">
        <v>136</v>
      </c>
      <c r="H114" s="26" t="s">
        <v>124</v>
      </c>
      <c r="I114" s="26" t="s">
        <v>178</v>
      </c>
      <c r="J114" s="27"/>
      <c r="K114" s="25" t="str">
        <f>"165,0"</f>
        <v>165,0</v>
      </c>
      <c r="L114" s="26" t="str">
        <f>"94,1470"</f>
        <v>94,1470</v>
      </c>
      <c r="M114" s="25"/>
    </row>
    <row r="115" spans="1:13">
      <c r="A115" s="29" t="s">
        <v>1180</v>
      </c>
      <c r="B115" s="28" t="s">
        <v>1181</v>
      </c>
      <c r="C115" s="28" t="s">
        <v>1182</v>
      </c>
      <c r="D115" s="28" t="str">
        <f>"0,5546"</f>
        <v>0,5546</v>
      </c>
      <c r="E115" s="29" t="s">
        <v>1183</v>
      </c>
      <c r="F115" s="29" t="s">
        <v>95</v>
      </c>
      <c r="G115" s="28" t="s">
        <v>117</v>
      </c>
      <c r="H115" s="28" t="s">
        <v>179</v>
      </c>
      <c r="I115" s="30" t="s">
        <v>251</v>
      </c>
      <c r="J115" s="30"/>
      <c r="K115" s="29" t="str">
        <f>"175,0"</f>
        <v>175,0</v>
      </c>
      <c r="L115" s="28" t="str">
        <f>"108,0222"</f>
        <v>108,0222</v>
      </c>
      <c r="M115" s="29"/>
    </row>
    <row r="117" spans="1:13" ht="15">
      <c r="A117" s="47" t="s">
        <v>448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</row>
    <row r="118" spans="1:13">
      <c r="A118" s="22" t="s">
        <v>1185</v>
      </c>
      <c r="B118" s="23" t="s">
        <v>1186</v>
      </c>
      <c r="C118" s="23" t="s">
        <v>1187</v>
      </c>
      <c r="D118" s="23" t="str">
        <f>"0,5268"</f>
        <v>0,5268</v>
      </c>
      <c r="E118" s="22" t="s">
        <v>18</v>
      </c>
      <c r="F118" s="22" t="s">
        <v>1188</v>
      </c>
      <c r="G118" s="23" t="s">
        <v>118</v>
      </c>
      <c r="H118" s="23" t="s">
        <v>149</v>
      </c>
      <c r="I118" s="24" t="s">
        <v>156</v>
      </c>
      <c r="J118" s="24"/>
      <c r="K118" s="22" t="str">
        <f>"190,0"</f>
        <v>190,0</v>
      </c>
      <c r="L118" s="23" t="str">
        <f>"100,0873"</f>
        <v>100,0873</v>
      </c>
      <c r="M118" s="22"/>
    </row>
    <row r="119" spans="1:13">
      <c r="A119" s="29" t="s">
        <v>1185</v>
      </c>
      <c r="B119" s="28" t="s">
        <v>1189</v>
      </c>
      <c r="C119" s="28" t="s">
        <v>1187</v>
      </c>
      <c r="D119" s="28" t="str">
        <f>"0,5268"</f>
        <v>0,5268</v>
      </c>
      <c r="E119" s="29" t="s">
        <v>18</v>
      </c>
      <c r="F119" s="29" t="s">
        <v>1188</v>
      </c>
      <c r="G119" s="28" t="s">
        <v>118</v>
      </c>
      <c r="H119" s="28" t="s">
        <v>149</v>
      </c>
      <c r="I119" s="30" t="s">
        <v>156</v>
      </c>
      <c r="J119" s="30"/>
      <c r="K119" s="29" t="str">
        <f>"190,0"</f>
        <v>190,0</v>
      </c>
      <c r="L119" s="28" t="str">
        <f>"106,8932"</f>
        <v>106,8932</v>
      </c>
      <c r="M119" s="29"/>
    </row>
    <row r="121" spans="1:13" ht="15">
      <c r="E121" s="12" t="s">
        <v>64</v>
      </c>
    </row>
    <row r="122" spans="1:13" ht="15">
      <c r="E122" s="12" t="s">
        <v>65</v>
      </c>
    </row>
    <row r="123" spans="1:13" ht="15">
      <c r="E123" s="12" t="s">
        <v>66</v>
      </c>
    </row>
    <row r="124" spans="1:13">
      <c r="E124" s="4" t="s">
        <v>67</v>
      </c>
    </row>
    <row r="125" spans="1:13">
      <c r="E125" s="4" t="s">
        <v>68</v>
      </c>
    </row>
    <row r="126" spans="1:13">
      <c r="E126" s="4" t="s">
        <v>69</v>
      </c>
    </row>
    <row r="129" spans="1:5" ht="18">
      <c r="A129" s="13" t="s">
        <v>70</v>
      </c>
      <c r="B129" s="14"/>
    </row>
    <row r="130" spans="1:5" ht="15">
      <c r="A130" s="15" t="s">
        <v>71</v>
      </c>
      <c r="B130" s="16"/>
    </row>
    <row r="131" spans="1:5" ht="14.25">
      <c r="A131" s="18"/>
      <c r="B131" s="19" t="s">
        <v>214</v>
      </c>
    </row>
    <row r="132" spans="1:5" ht="15">
      <c r="A132" s="20" t="s">
        <v>0</v>
      </c>
      <c r="B132" s="20" t="s">
        <v>73</v>
      </c>
      <c r="C132" s="20" t="s">
        <v>74</v>
      </c>
      <c r="D132" s="20" t="s">
        <v>75</v>
      </c>
      <c r="E132" s="20" t="s">
        <v>11</v>
      </c>
    </row>
    <row r="133" spans="1:5">
      <c r="A133" s="17" t="s">
        <v>911</v>
      </c>
      <c r="B133" s="5" t="s">
        <v>701</v>
      </c>
      <c r="C133" s="5" t="s">
        <v>81</v>
      </c>
      <c r="D133" s="5" t="s">
        <v>294</v>
      </c>
      <c r="E133" s="21" t="s">
        <v>1190</v>
      </c>
    </row>
    <row r="135" spans="1:5" ht="14.25">
      <c r="A135" s="18"/>
      <c r="B135" s="19" t="s">
        <v>72</v>
      </c>
    </row>
    <row r="136" spans="1:5" ht="15">
      <c r="A136" s="20" t="s">
        <v>0</v>
      </c>
      <c r="B136" s="20" t="s">
        <v>73</v>
      </c>
      <c r="C136" s="20" t="s">
        <v>74</v>
      </c>
      <c r="D136" s="20" t="s">
        <v>75</v>
      </c>
      <c r="E136" s="20" t="s">
        <v>11</v>
      </c>
    </row>
    <row r="137" spans="1:5">
      <c r="A137" s="17" t="s">
        <v>916</v>
      </c>
      <c r="B137" s="5" t="s">
        <v>76</v>
      </c>
      <c r="C137" s="5" t="s">
        <v>81</v>
      </c>
      <c r="D137" s="5" t="s">
        <v>337</v>
      </c>
      <c r="E137" s="21" t="s">
        <v>1191</v>
      </c>
    </row>
    <row r="139" spans="1:5" ht="14.25">
      <c r="A139" s="18"/>
      <c r="B139" s="19" t="s">
        <v>80</v>
      </c>
    </row>
    <row r="140" spans="1:5" ht="15">
      <c r="A140" s="20" t="s">
        <v>0</v>
      </c>
      <c r="B140" s="20" t="s">
        <v>73</v>
      </c>
      <c r="C140" s="20" t="s">
        <v>74</v>
      </c>
      <c r="D140" s="20" t="s">
        <v>75</v>
      </c>
      <c r="E140" s="20" t="s">
        <v>11</v>
      </c>
    </row>
    <row r="141" spans="1:5">
      <c r="A141" s="17" t="s">
        <v>921</v>
      </c>
      <c r="B141" s="5" t="s">
        <v>80</v>
      </c>
      <c r="C141" s="5" t="s">
        <v>77</v>
      </c>
      <c r="D141" s="5" t="s">
        <v>63</v>
      </c>
      <c r="E141" s="21" t="s">
        <v>1192</v>
      </c>
    </row>
    <row r="142" spans="1:5">
      <c r="A142" s="17" t="s">
        <v>903</v>
      </c>
      <c r="B142" s="5" t="s">
        <v>80</v>
      </c>
      <c r="C142" s="5" t="s">
        <v>457</v>
      </c>
      <c r="D142" s="5" t="s">
        <v>103</v>
      </c>
      <c r="E142" s="21" t="s">
        <v>1193</v>
      </c>
    </row>
    <row r="143" spans="1:5">
      <c r="A143" s="17" t="s">
        <v>899</v>
      </c>
      <c r="B143" s="5" t="s">
        <v>80</v>
      </c>
      <c r="C143" s="5" t="s">
        <v>84</v>
      </c>
      <c r="D143" s="5" t="s">
        <v>23</v>
      </c>
      <c r="E143" s="21" t="s">
        <v>1194</v>
      </c>
    </row>
    <row r="144" spans="1:5">
      <c r="A144" s="17" t="s">
        <v>907</v>
      </c>
      <c r="B144" s="5" t="s">
        <v>80</v>
      </c>
      <c r="C144" s="5" t="s">
        <v>457</v>
      </c>
      <c r="D144" s="5" t="s">
        <v>111</v>
      </c>
      <c r="E144" s="21" t="s">
        <v>1195</v>
      </c>
    </row>
    <row r="145" spans="1:5">
      <c r="A145" s="17" t="s">
        <v>893</v>
      </c>
      <c r="B145" s="5" t="s">
        <v>80</v>
      </c>
      <c r="C145" s="5" t="s">
        <v>1196</v>
      </c>
      <c r="D145" s="5" t="s">
        <v>50</v>
      </c>
      <c r="E145" s="21" t="s">
        <v>1197</v>
      </c>
    </row>
    <row r="146" spans="1:5">
      <c r="A146" s="17" t="s">
        <v>768</v>
      </c>
      <c r="B146" s="5" t="s">
        <v>80</v>
      </c>
      <c r="C146" s="5" t="s">
        <v>844</v>
      </c>
      <c r="D146" s="5" t="s">
        <v>49</v>
      </c>
      <c r="E146" s="21" t="s">
        <v>1198</v>
      </c>
    </row>
    <row r="148" spans="1:5" ht="14.25">
      <c r="A148" s="18"/>
      <c r="B148" s="19" t="s">
        <v>206</v>
      </c>
    </row>
    <row r="149" spans="1:5" ht="15">
      <c r="A149" s="20" t="s">
        <v>0</v>
      </c>
      <c r="B149" s="20" t="s">
        <v>73</v>
      </c>
      <c r="C149" s="20" t="s">
        <v>74</v>
      </c>
      <c r="D149" s="20" t="s">
        <v>75</v>
      </c>
      <c r="E149" s="20" t="s">
        <v>11</v>
      </c>
    </row>
    <row r="150" spans="1:5">
      <c r="A150" s="17" t="s">
        <v>759</v>
      </c>
      <c r="B150" s="5" t="s">
        <v>210</v>
      </c>
      <c r="C150" s="5" t="s">
        <v>77</v>
      </c>
      <c r="D150" s="5" t="s">
        <v>337</v>
      </c>
      <c r="E150" s="21" t="s">
        <v>1199</v>
      </c>
    </row>
    <row r="151" spans="1:5">
      <c r="A151" s="17" t="s">
        <v>893</v>
      </c>
      <c r="B151" s="5" t="s">
        <v>241</v>
      </c>
      <c r="C151" s="5" t="s">
        <v>1196</v>
      </c>
      <c r="D151" s="5" t="s">
        <v>50</v>
      </c>
      <c r="E151" s="21" t="s">
        <v>1200</v>
      </c>
    </row>
    <row r="152" spans="1:5">
      <c r="A152" s="17" t="s">
        <v>926</v>
      </c>
      <c r="B152" s="5" t="s">
        <v>241</v>
      </c>
      <c r="C152" s="5" t="s">
        <v>455</v>
      </c>
      <c r="D152" s="5" t="s">
        <v>111</v>
      </c>
      <c r="E152" s="21" t="s">
        <v>1201</v>
      </c>
    </row>
    <row r="155" spans="1:5" ht="15">
      <c r="A155" s="15" t="s">
        <v>213</v>
      </c>
      <c r="B155" s="16"/>
    </row>
    <row r="156" spans="1:5" ht="14.25">
      <c r="A156" s="18"/>
      <c r="B156" s="19" t="s">
        <v>214</v>
      </c>
    </row>
    <row r="157" spans="1:5" ht="15">
      <c r="A157" s="20" t="s">
        <v>0</v>
      </c>
      <c r="B157" s="20" t="s">
        <v>73</v>
      </c>
      <c r="C157" s="20" t="s">
        <v>74</v>
      </c>
      <c r="D157" s="20" t="s">
        <v>75</v>
      </c>
      <c r="E157" s="20" t="s">
        <v>11</v>
      </c>
    </row>
    <row r="158" spans="1:5">
      <c r="A158" s="17" t="s">
        <v>964</v>
      </c>
      <c r="B158" s="5" t="s">
        <v>464</v>
      </c>
      <c r="C158" s="5" t="s">
        <v>87</v>
      </c>
      <c r="D158" s="5" t="s">
        <v>33</v>
      </c>
      <c r="E158" s="21" t="s">
        <v>1202</v>
      </c>
    </row>
    <row r="159" spans="1:5">
      <c r="A159" s="17" t="s">
        <v>1152</v>
      </c>
      <c r="B159" s="5" t="s">
        <v>464</v>
      </c>
      <c r="C159" s="5" t="s">
        <v>468</v>
      </c>
      <c r="D159" s="5" t="s">
        <v>38</v>
      </c>
      <c r="E159" s="21" t="s">
        <v>1203</v>
      </c>
    </row>
    <row r="160" spans="1:5">
      <c r="A160" s="17" t="s">
        <v>1012</v>
      </c>
      <c r="B160" s="5" t="s">
        <v>464</v>
      </c>
      <c r="C160" s="5" t="s">
        <v>455</v>
      </c>
      <c r="D160" s="5" t="s">
        <v>191</v>
      </c>
      <c r="E160" s="21" t="s">
        <v>1204</v>
      </c>
    </row>
    <row r="161" spans="1:5">
      <c r="A161" s="17" t="s">
        <v>943</v>
      </c>
      <c r="B161" s="5" t="s">
        <v>215</v>
      </c>
      <c r="C161" s="5" t="s">
        <v>77</v>
      </c>
      <c r="D161" s="5" t="s">
        <v>53</v>
      </c>
      <c r="E161" s="21" t="s">
        <v>1205</v>
      </c>
    </row>
    <row r="162" spans="1:5">
      <c r="A162" s="17" t="s">
        <v>1007</v>
      </c>
      <c r="B162" s="5" t="s">
        <v>215</v>
      </c>
      <c r="C162" s="5" t="s">
        <v>455</v>
      </c>
      <c r="D162" s="5" t="s">
        <v>26</v>
      </c>
      <c r="E162" s="21" t="s">
        <v>1206</v>
      </c>
    </row>
    <row r="163" spans="1:5">
      <c r="A163" s="17" t="s">
        <v>629</v>
      </c>
      <c r="B163" s="5" t="s">
        <v>701</v>
      </c>
      <c r="C163" s="5" t="s">
        <v>455</v>
      </c>
      <c r="D163" s="5" t="s">
        <v>25</v>
      </c>
      <c r="E163" s="21" t="s">
        <v>1207</v>
      </c>
    </row>
    <row r="164" spans="1:5">
      <c r="A164" s="17" t="s">
        <v>1077</v>
      </c>
      <c r="B164" s="5" t="s">
        <v>464</v>
      </c>
      <c r="C164" s="5" t="s">
        <v>217</v>
      </c>
      <c r="D164" s="5" t="s">
        <v>97</v>
      </c>
      <c r="E164" s="21" t="s">
        <v>1208</v>
      </c>
    </row>
    <row r="165" spans="1:5">
      <c r="A165" s="17" t="s">
        <v>931</v>
      </c>
      <c r="B165" s="5" t="s">
        <v>215</v>
      </c>
      <c r="C165" s="5" t="s">
        <v>837</v>
      </c>
      <c r="D165" s="5" t="s">
        <v>287</v>
      </c>
      <c r="E165" s="21" t="s">
        <v>1209</v>
      </c>
    </row>
    <row r="166" spans="1:5">
      <c r="A166" s="17" t="s">
        <v>785</v>
      </c>
      <c r="B166" s="5" t="s">
        <v>215</v>
      </c>
      <c r="C166" s="5" t="s">
        <v>229</v>
      </c>
      <c r="D166" s="5" t="s">
        <v>294</v>
      </c>
      <c r="E166" s="21" t="s">
        <v>1210</v>
      </c>
    </row>
    <row r="168" spans="1:5" ht="14.25">
      <c r="A168" s="18"/>
      <c r="B168" s="19" t="s">
        <v>72</v>
      </c>
    </row>
    <row r="169" spans="1:5" ht="15">
      <c r="A169" s="20" t="s">
        <v>0</v>
      </c>
      <c r="B169" s="20" t="s">
        <v>73</v>
      </c>
      <c r="C169" s="20" t="s">
        <v>74</v>
      </c>
      <c r="D169" s="20" t="s">
        <v>75</v>
      </c>
      <c r="E169" s="20" t="s">
        <v>11</v>
      </c>
    </row>
    <row r="170" spans="1:5">
      <c r="A170" s="17" t="s">
        <v>935</v>
      </c>
      <c r="B170" s="5" t="s">
        <v>76</v>
      </c>
      <c r="C170" s="5" t="s">
        <v>81</v>
      </c>
      <c r="D170" s="5" t="s">
        <v>126</v>
      </c>
      <c r="E170" s="21" t="s">
        <v>1211</v>
      </c>
    </row>
    <row r="171" spans="1:5">
      <c r="A171" s="17" t="s">
        <v>1081</v>
      </c>
      <c r="B171" s="5" t="s">
        <v>76</v>
      </c>
      <c r="C171" s="5" t="s">
        <v>217</v>
      </c>
      <c r="D171" s="5" t="s">
        <v>178</v>
      </c>
      <c r="E171" s="21" t="s">
        <v>1212</v>
      </c>
    </row>
    <row r="172" spans="1:5">
      <c r="A172" s="17" t="s">
        <v>1016</v>
      </c>
      <c r="B172" s="5" t="s">
        <v>76</v>
      </c>
      <c r="C172" s="5" t="s">
        <v>455</v>
      </c>
      <c r="D172" s="5" t="s">
        <v>322</v>
      </c>
      <c r="E172" s="21" t="s">
        <v>1213</v>
      </c>
    </row>
    <row r="173" spans="1:5">
      <c r="A173" s="17" t="s">
        <v>938</v>
      </c>
      <c r="B173" s="5" t="s">
        <v>76</v>
      </c>
      <c r="C173" s="5" t="s">
        <v>81</v>
      </c>
      <c r="D173" s="5" t="s">
        <v>52</v>
      </c>
      <c r="E173" s="21" t="s">
        <v>1214</v>
      </c>
    </row>
    <row r="174" spans="1:5">
      <c r="A174" s="17" t="s">
        <v>622</v>
      </c>
      <c r="B174" s="5" t="s">
        <v>76</v>
      </c>
      <c r="C174" s="5" t="s">
        <v>87</v>
      </c>
      <c r="D174" s="5" t="s">
        <v>24</v>
      </c>
      <c r="E174" s="21" t="s">
        <v>1215</v>
      </c>
    </row>
    <row r="176" spans="1:5" ht="14.25">
      <c r="A176" s="18"/>
      <c r="B176" s="19" t="s">
        <v>80</v>
      </c>
    </row>
    <row r="177" spans="1:5" ht="15">
      <c r="A177" s="20" t="s">
        <v>0</v>
      </c>
      <c r="B177" s="20" t="s">
        <v>73</v>
      </c>
      <c r="C177" s="20" t="s">
        <v>74</v>
      </c>
      <c r="D177" s="20" t="s">
        <v>75</v>
      </c>
      <c r="E177" s="20" t="s">
        <v>11</v>
      </c>
    </row>
    <row r="178" spans="1:5">
      <c r="A178" s="17" t="s">
        <v>1085</v>
      </c>
      <c r="B178" s="5" t="s">
        <v>80</v>
      </c>
      <c r="C178" s="5" t="s">
        <v>217</v>
      </c>
      <c r="D178" s="5" t="s">
        <v>119</v>
      </c>
      <c r="E178" s="21" t="s">
        <v>1216</v>
      </c>
    </row>
    <row r="179" spans="1:5">
      <c r="A179" s="17" t="s">
        <v>1156</v>
      </c>
      <c r="B179" s="5" t="s">
        <v>80</v>
      </c>
      <c r="C179" s="5" t="s">
        <v>468</v>
      </c>
      <c r="D179" s="5" t="s">
        <v>128</v>
      </c>
      <c r="E179" s="21" t="s">
        <v>1217</v>
      </c>
    </row>
    <row r="180" spans="1:5">
      <c r="A180" s="17" t="s">
        <v>1161</v>
      </c>
      <c r="B180" s="5" t="s">
        <v>80</v>
      </c>
      <c r="C180" s="5" t="s">
        <v>468</v>
      </c>
      <c r="D180" s="5" t="s">
        <v>697</v>
      </c>
      <c r="E180" s="21" t="s">
        <v>1218</v>
      </c>
    </row>
    <row r="181" spans="1:5">
      <c r="A181" s="17" t="s">
        <v>1045</v>
      </c>
      <c r="B181" s="5" t="s">
        <v>80</v>
      </c>
      <c r="C181" s="5" t="s">
        <v>229</v>
      </c>
      <c r="D181" s="5" t="s">
        <v>118</v>
      </c>
      <c r="E181" s="21" t="s">
        <v>1219</v>
      </c>
    </row>
    <row r="182" spans="1:5">
      <c r="A182" s="17" t="s">
        <v>946</v>
      </c>
      <c r="B182" s="5" t="s">
        <v>80</v>
      </c>
      <c r="C182" s="5" t="s">
        <v>77</v>
      </c>
      <c r="D182" s="5" t="s">
        <v>249</v>
      </c>
      <c r="E182" s="21" t="s">
        <v>1220</v>
      </c>
    </row>
    <row r="183" spans="1:5">
      <c r="A183" s="17" t="s">
        <v>1090</v>
      </c>
      <c r="B183" s="5" t="s">
        <v>80</v>
      </c>
      <c r="C183" s="5" t="s">
        <v>217</v>
      </c>
      <c r="D183" s="5" t="s">
        <v>416</v>
      </c>
      <c r="E183" s="21" t="s">
        <v>1221</v>
      </c>
    </row>
    <row r="184" spans="1:5">
      <c r="A184" s="17" t="s">
        <v>950</v>
      </c>
      <c r="B184" s="5" t="s">
        <v>80</v>
      </c>
      <c r="C184" s="5" t="s">
        <v>77</v>
      </c>
      <c r="D184" s="5" t="s">
        <v>199</v>
      </c>
      <c r="E184" s="21" t="s">
        <v>1222</v>
      </c>
    </row>
    <row r="185" spans="1:5">
      <c r="A185" s="17" t="s">
        <v>1137</v>
      </c>
      <c r="B185" s="5" t="s">
        <v>80</v>
      </c>
      <c r="C185" s="5" t="s">
        <v>222</v>
      </c>
      <c r="D185" s="5" t="s">
        <v>251</v>
      </c>
      <c r="E185" s="21" t="s">
        <v>1223</v>
      </c>
    </row>
    <row r="186" spans="1:5">
      <c r="A186" s="17" t="s">
        <v>970</v>
      </c>
      <c r="B186" s="5" t="s">
        <v>80</v>
      </c>
      <c r="C186" s="5" t="s">
        <v>87</v>
      </c>
      <c r="D186" s="5" t="s">
        <v>169</v>
      </c>
      <c r="E186" s="21" t="s">
        <v>1224</v>
      </c>
    </row>
    <row r="187" spans="1:5">
      <c r="A187" s="17" t="s">
        <v>1166</v>
      </c>
      <c r="B187" s="5" t="s">
        <v>80</v>
      </c>
      <c r="C187" s="5" t="s">
        <v>468</v>
      </c>
      <c r="D187" s="5" t="s">
        <v>118</v>
      </c>
      <c r="E187" s="21" t="s">
        <v>1225</v>
      </c>
    </row>
    <row r="188" spans="1:5">
      <c r="A188" s="17" t="s">
        <v>1184</v>
      </c>
      <c r="B188" s="5" t="s">
        <v>80</v>
      </c>
      <c r="C188" s="5" t="s">
        <v>473</v>
      </c>
      <c r="D188" s="5" t="s">
        <v>149</v>
      </c>
      <c r="E188" s="21" t="s">
        <v>1226</v>
      </c>
    </row>
    <row r="189" spans="1:5">
      <c r="A189" s="17" t="s">
        <v>974</v>
      </c>
      <c r="B189" s="5" t="s">
        <v>80</v>
      </c>
      <c r="C189" s="5" t="s">
        <v>87</v>
      </c>
      <c r="D189" s="5" t="s">
        <v>249</v>
      </c>
      <c r="E189" s="21" t="s">
        <v>1227</v>
      </c>
    </row>
    <row r="190" spans="1:5">
      <c r="A190" s="17" t="s">
        <v>1054</v>
      </c>
      <c r="B190" s="5" t="s">
        <v>80</v>
      </c>
      <c r="C190" s="5" t="s">
        <v>229</v>
      </c>
      <c r="D190" s="5" t="s">
        <v>170</v>
      </c>
      <c r="E190" s="21" t="s">
        <v>1228</v>
      </c>
    </row>
    <row r="191" spans="1:5">
      <c r="A191" s="17" t="s">
        <v>1050</v>
      </c>
      <c r="B191" s="5" t="s">
        <v>80</v>
      </c>
      <c r="C191" s="5" t="s">
        <v>229</v>
      </c>
      <c r="D191" s="5" t="s">
        <v>604</v>
      </c>
      <c r="E191" s="21" t="s">
        <v>1229</v>
      </c>
    </row>
    <row r="192" spans="1:5">
      <c r="A192" s="17" t="s">
        <v>1095</v>
      </c>
      <c r="B192" s="5" t="s">
        <v>80</v>
      </c>
      <c r="C192" s="5" t="s">
        <v>217</v>
      </c>
      <c r="D192" s="5" t="s">
        <v>124</v>
      </c>
      <c r="E192" s="21" t="s">
        <v>1230</v>
      </c>
    </row>
    <row r="193" spans="1:5">
      <c r="A193" s="17" t="s">
        <v>979</v>
      </c>
      <c r="B193" s="5" t="s">
        <v>80</v>
      </c>
      <c r="C193" s="5" t="s">
        <v>87</v>
      </c>
      <c r="D193" s="5" t="s">
        <v>33</v>
      </c>
      <c r="E193" s="21" t="s">
        <v>1231</v>
      </c>
    </row>
    <row r="194" spans="1:5">
      <c r="A194" s="17" t="s">
        <v>1100</v>
      </c>
      <c r="B194" s="5" t="s">
        <v>80</v>
      </c>
      <c r="C194" s="5" t="s">
        <v>217</v>
      </c>
      <c r="D194" s="5" t="s">
        <v>604</v>
      </c>
      <c r="E194" s="21" t="s">
        <v>1232</v>
      </c>
    </row>
    <row r="195" spans="1:5">
      <c r="A195" s="17" t="s">
        <v>1019</v>
      </c>
      <c r="B195" s="5" t="s">
        <v>80</v>
      </c>
      <c r="C195" s="5" t="s">
        <v>455</v>
      </c>
      <c r="D195" s="5" t="s">
        <v>249</v>
      </c>
      <c r="E195" s="21" t="s">
        <v>1233</v>
      </c>
    </row>
    <row r="196" spans="1:5">
      <c r="A196" s="17" t="s">
        <v>1104</v>
      </c>
      <c r="B196" s="5" t="s">
        <v>80</v>
      </c>
      <c r="C196" s="5" t="s">
        <v>217</v>
      </c>
      <c r="D196" s="5" t="s">
        <v>170</v>
      </c>
      <c r="E196" s="21" t="s">
        <v>1234</v>
      </c>
    </row>
    <row r="197" spans="1:5">
      <c r="A197" s="17" t="s">
        <v>984</v>
      </c>
      <c r="B197" s="5" t="s">
        <v>80</v>
      </c>
      <c r="C197" s="5" t="s">
        <v>87</v>
      </c>
      <c r="D197" s="5" t="s">
        <v>322</v>
      </c>
      <c r="E197" s="21" t="s">
        <v>1235</v>
      </c>
    </row>
    <row r="198" spans="1:5">
      <c r="A198" s="17" t="s">
        <v>988</v>
      </c>
      <c r="B198" s="5" t="s">
        <v>80</v>
      </c>
      <c r="C198" s="5" t="s">
        <v>87</v>
      </c>
      <c r="D198" s="5" t="s">
        <v>322</v>
      </c>
      <c r="E198" s="21" t="s">
        <v>1236</v>
      </c>
    </row>
    <row r="199" spans="1:5">
      <c r="A199" s="17" t="s">
        <v>1058</v>
      </c>
      <c r="B199" s="5" t="s">
        <v>80</v>
      </c>
      <c r="C199" s="5" t="s">
        <v>229</v>
      </c>
      <c r="D199" s="5" t="s">
        <v>249</v>
      </c>
      <c r="E199" s="21" t="s">
        <v>1237</v>
      </c>
    </row>
    <row r="200" spans="1:5">
      <c r="A200" s="17" t="s">
        <v>1108</v>
      </c>
      <c r="B200" s="5" t="s">
        <v>80</v>
      </c>
      <c r="C200" s="5" t="s">
        <v>217</v>
      </c>
      <c r="D200" s="5" t="s">
        <v>249</v>
      </c>
      <c r="E200" s="21" t="s">
        <v>1238</v>
      </c>
    </row>
    <row r="201" spans="1:5">
      <c r="A201" s="17" t="s">
        <v>1063</v>
      </c>
      <c r="B201" s="5" t="s">
        <v>80</v>
      </c>
      <c r="C201" s="5" t="s">
        <v>229</v>
      </c>
      <c r="D201" s="5" t="s">
        <v>142</v>
      </c>
      <c r="E201" s="21" t="s">
        <v>1239</v>
      </c>
    </row>
    <row r="203" spans="1:5" ht="14.25">
      <c r="A203" s="18"/>
      <c r="B203" s="19" t="s">
        <v>206</v>
      </c>
    </row>
    <row r="204" spans="1:5" ht="15">
      <c r="A204" s="20" t="s">
        <v>0</v>
      </c>
      <c r="B204" s="20" t="s">
        <v>73</v>
      </c>
      <c r="C204" s="20" t="s">
        <v>74</v>
      </c>
      <c r="D204" s="20" t="s">
        <v>75</v>
      </c>
      <c r="E204" s="20" t="s">
        <v>11</v>
      </c>
    </row>
    <row r="205" spans="1:5">
      <c r="A205" s="17" t="s">
        <v>1090</v>
      </c>
      <c r="B205" s="5" t="s">
        <v>238</v>
      </c>
      <c r="C205" s="5" t="s">
        <v>217</v>
      </c>
      <c r="D205" s="5" t="s">
        <v>416</v>
      </c>
      <c r="E205" s="21" t="s">
        <v>1240</v>
      </c>
    </row>
    <row r="206" spans="1:5">
      <c r="A206" s="17" t="s">
        <v>1039</v>
      </c>
      <c r="B206" s="5" t="s">
        <v>238</v>
      </c>
      <c r="C206" s="5" t="s">
        <v>455</v>
      </c>
      <c r="D206" s="5" t="s">
        <v>142</v>
      </c>
      <c r="E206" s="21" t="s">
        <v>1241</v>
      </c>
    </row>
    <row r="207" spans="1:5">
      <c r="A207" s="17" t="s">
        <v>1123</v>
      </c>
      <c r="B207" s="5" t="s">
        <v>210</v>
      </c>
      <c r="C207" s="5" t="s">
        <v>217</v>
      </c>
      <c r="D207" s="5" t="s">
        <v>149</v>
      </c>
      <c r="E207" s="21" t="s">
        <v>1242</v>
      </c>
    </row>
    <row r="208" spans="1:5">
      <c r="A208" s="17" t="s">
        <v>1004</v>
      </c>
      <c r="B208" s="5" t="s">
        <v>210</v>
      </c>
      <c r="C208" s="5" t="s">
        <v>87</v>
      </c>
      <c r="D208" s="5" t="s">
        <v>136</v>
      </c>
      <c r="E208" s="21" t="s">
        <v>1243</v>
      </c>
    </row>
    <row r="209" spans="1:5">
      <c r="A209" s="17" t="s">
        <v>1179</v>
      </c>
      <c r="B209" s="5" t="s">
        <v>210</v>
      </c>
      <c r="C209" s="5" t="s">
        <v>468</v>
      </c>
      <c r="D209" s="5" t="s">
        <v>179</v>
      </c>
      <c r="E209" s="21" t="s">
        <v>1244</v>
      </c>
    </row>
    <row r="210" spans="1:5">
      <c r="A210" s="17" t="s">
        <v>1184</v>
      </c>
      <c r="B210" s="5" t="s">
        <v>210</v>
      </c>
      <c r="C210" s="5" t="s">
        <v>473</v>
      </c>
      <c r="D210" s="5" t="s">
        <v>149</v>
      </c>
      <c r="E210" s="21" t="s">
        <v>1245</v>
      </c>
    </row>
    <row r="211" spans="1:5">
      <c r="A211" s="17" t="s">
        <v>1131</v>
      </c>
      <c r="B211" s="5" t="s">
        <v>480</v>
      </c>
      <c r="C211" s="5" t="s">
        <v>217</v>
      </c>
      <c r="D211" s="5" t="s">
        <v>136</v>
      </c>
      <c r="E211" s="21" t="s">
        <v>1246</v>
      </c>
    </row>
    <row r="212" spans="1:5">
      <c r="A212" s="17" t="s">
        <v>938</v>
      </c>
      <c r="B212" s="5" t="s">
        <v>207</v>
      </c>
      <c r="C212" s="5" t="s">
        <v>222</v>
      </c>
      <c r="D212" s="5" t="s">
        <v>170</v>
      </c>
      <c r="E212" s="21" t="s">
        <v>1247</v>
      </c>
    </row>
    <row r="213" spans="1:5">
      <c r="A213" s="17" t="s">
        <v>1148</v>
      </c>
      <c r="B213" s="5" t="s">
        <v>480</v>
      </c>
      <c r="C213" s="5" t="s">
        <v>222</v>
      </c>
      <c r="D213" s="5" t="s">
        <v>366</v>
      </c>
      <c r="E213" s="21" t="s">
        <v>1248</v>
      </c>
    </row>
    <row r="214" spans="1:5">
      <c r="A214" s="17" t="s">
        <v>1027</v>
      </c>
      <c r="B214" s="5" t="s">
        <v>241</v>
      </c>
      <c r="C214" s="5" t="s">
        <v>455</v>
      </c>
      <c r="D214" s="5" t="s">
        <v>136</v>
      </c>
      <c r="E214" s="21" t="s">
        <v>1249</v>
      </c>
    </row>
    <row r="215" spans="1:5">
      <c r="A215" s="17" t="s">
        <v>959</v>
      </c>
      <c r="B215" s="5" t="s">
        <v>207</v>
      </c>
      <c r="C215" s="5" t="s">
        <v>77</v>
      </c>
      <c r="D215" s="5" t="s">
        <v>304</v>
      </c>
      <c r="E215" s="21" t="s">
        <v>1250</v>
      </c>
    </row>
    <row r="216" spans="1:5">
      <c r="A216" s="17" t="s">
        <v>1175</v>
      </c>
      <c r="B216" s="5" t="s">
        <v>241</v>
      </c>
      <c r="C216" s="5" t="s">
        <v>468</v>
      </c>
      <c r="D216" s="5" t="s">
        <v>178</v>
      </c>
      <c r="E216" s="21" t="s">
        <v>1251</v>
      </c>
    </row>
    <row r="217" spans="1:5">
      <c r="A217" s="17" t="s">
        <v>1127</v>
      </c>
      <c r="B217" s="5" t="s">
        <v>210</v>
      </c>
      <c r="C217" s="5" t="s">
        <v>217</v>
      </c>
      <c r="D217" s="5" t="s">
        <v>169</v>
      </c>
      <c r="E217" s="21" t="s">
        <v>1252</v>
      </c>
    </row>
    <row r="218" spans="1:5">
      <c r="A218" s="17" t="s">
        <v>1034</v>
      </c>
      <c r="B218" s="5" t="s">
        <v>480</v>
      </c>
      <c r="C218" s="5" t="s">
        <v>455</v>
      </c>
      <c r="D218" s="5" t="s">
        <v>25</v>
      </c>
      <c r="E218" s="21" t="s">
        <v>1253</v>
      </c>
    </row>
    <row r="219" spans="1:5">
      <c r="A219" s="17" t="s">
        <v>1031</v>
      </c>
      <c r="B219" s="5" t="s">
        <v>210</v>
      </c>
      <c r="C219" s="5" t="s">
        <v>455</v>
      </c>
      <c r="D219" s="5" t="s">
        <v>126</v>
      </c>
      <c r="E219" s="21" t="s">
        <v>1254</v>
      </c>
    </row>
    <row r="220" spans="1:5">
      <c r="A220" s="17" t="s">
        <v>1141</v>
      </c>
      <c r="B220" s="5" t="s">
        <v>241</v>
      </c>
      <c r="C220" s="5" t="s">
        <v>222</v>
      </c>
      <c r="D220" s="5" t="s">
        <v>199</v>
      </c>
      <c r="E220" s="21" t="s">
        <v>1255</v>
      </c>
    </row>
    <row r="221" spans="1:5">
      <c r="A221" s="17" t="s">
        <v>1072</v>
      </c>
      <c r="B221" s="5" t="s">
        <v>241</v>
      </c>
      <c r="C221" s="5" t="s">
        <v>229</v>
      </c>
      <c r="D221" s="5" t="s">
        <v>126</v>
      </c>
      <c r="E221" s="21" t="s">
        <v>1256</v>
      </c>
    </row>
  </sheetData>
  <mergeCells count="28">
    <mergeCell ref="A108:L108"/>
    <mergeCell ref="A117:L117"/>
    <mergeCell ref="A37:L37"/>
    <mergeCell ref="A45:L45"/>
    <mergeCell ref="A60:L60"/>
    <mergeCell ref="A74:L74"/>
    <mergeCell ref="A85:L85"/>
    <mergeCell ref="A102:L102"/>
    <mergeCell ref="A33:L33"/>
    <mergeCell ref="K3:K4"/>
    <mergeCell ref="L3:L4"/>
    <mergeCell ref="M3:M4"/>
    <mergeCell ref="A5:L5"/>
    <mergeCell ref="A9:L9"/>
    <mergeCell ref="A12:L12"/>
    <mergeCell ref="A16:L16"/>
    <mergeCell ref="A20:L20"/>
    <mergeCell ref="A24:L24"/>
    <mergeCell ref="A27:L27"/>
    <mergeCell ref="A30:L30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0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10" width="5.5703125" style="5" bestFit="1" customWidth="1"/>
    <col min="11" max="13" width="4.5703125" style="5" bestFit="1" customWidth="1"/>
    <col min="14" max="14" width="5" style="5" bestFit="1" customWidth="1"/>
    <col min="15" max="18" width="5.570312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>
      <c r="A1" s="33" t="s">
        <v>1703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2</v>
      </c>
      <c r="H3" s="43"/>
      <c r="I3" s="43"/>
      <c r="J3" s="46"/>
      <c r="K3" s="39" t="s">
        <v>3</v>
      </c>
      <c r="L3" s="43"/>
      <c r="M3" s="43"/>
      <c r="N3" s="46"/>
      <c r="O3" s="39" t="s">
        <v>4</v>
      </c>
      <c r="P3" s="43"/>
      <c r="Q3" s="43"/>
      <c r="R3" s="46"/>
      <c r="S3" s="48" t="s">
        <v>9</v>
      </c>
      <c r="T3" s="43" t="s">
        <v>6</v>
      </c>
      <c r="U3" s="46" t="s">
        <v>5</v>
      </c>
    </row>
    <row r="4" spans="1:21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9"/>
      <c r="T4" s="42"/>
      <c r="U4" s="50"/>
    </row>
    <row r="5" spans="1:21" s="5" customFormat="1" ht="15">
      <c r="A5" s="51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s="5" customFormat="1">
      <c r="A6" s="9" t="s">
        <v>885</v>
      </c>
      <c r="B6" s="10" t="s">
        <v>886</v>
      </c>
      <c r="C6" s="10" t="s">
        <v>887</v>
      </c>
      <c r="D6" s="10" t="str">
        <f>"0,7012"</f>
        <v>0,7012</v>
      </c>
      <c r="E6" s="9" t="s">
        <v>18</v>
      </c>
      <c r="F6" s="9" t="s">
        <v>888</v>
      </c>
      <c r="G6" s="11" t="s">
        <v>136</v>
      </c>
      <c r="H6" s="10" t="s">
        <v>136</v>
      </c>
      <c r="I6" s="10" t="s">
        <v>605</v>
      </c>
      <c r="J6" s="10" t="s">
        <v>118</v>
      </c>
      <c r="K6" s="10" t="s">
        <v>103</v>
      </c>
      <c r="L6" s="10" t="s">
        <v>21</v>
      </c>
      <c r="M6" s="10" t="s">
        <v>104</v>
      </c>
      <c r="N6" s="11"/>
      <c r="O6" s="10" t="s">
        <v>136</v>
      </c>
      <c r="P6" s="10" t="s">
        <v>117</v>
      </c>
      <c r="Q6" s="10" t="s">
        <v>118</v>
      </c>
      <c r="R6" s="11" t="s">
        <v>889</v>
      </c>
      <c r="S6" s="9" t="str">
        <f>"430,0"</f>
        <v>430,0</v>
      </c>
      <c r="T6" s="10" t="str">
        <f>"604,4965"</f>
        <v>604,4965</v>
      </c>
      <c r="U6" s="9"/>
    </row>
    <row r="7" spans="1:21" s="5" customFormat="1">
      <c r="A7" s="4"/>
      <c r="E7" s="4"/>
      <c r="F7" s="4"/>
      <c r="S7" s="4"/>
      <c r="U7" s="4"/>
    </row>
    <row r="8" spans="1:21" ht="15">
      <c r="E8" s="12" t="s">
        <v>64</v>
      </c>
    </row>
    <row r="9" spans="1:21" ht="15">
      <c r="E9" s="12" t="s">
        <v>65</v>
      </c>
    </row>
    <row r="10" spans="1:21" ht="15">
      <c r="E10" s="12" t="s">
        <v>66</v>
      </c>
    </row>
    <row r="11" spans="1:21">
      <c r="E11" s="4" t="s">
        <v>67</v>
      </c>
    </row>
    <row r="12" spans="1:21">
      <c r="E12" s="4" t="s">
        <v>68</v>
      </c>
    </row>
    <row r="13" spans="1:21">
      <c r="E13" s="4" t="s">
        <v>69</v>
      </c>
    </row>
    <row r="16" spans="1:21" ht="18">
      <c r="A16" s="13" t="s">
        <v>70</v>
      </c>
      <c r="B16" s="14"/>
    </row>
    <row r="17" spans="1:5" ht="15">
      <c r="A17" s="15" t="s">
        <v>213</v>
      </c>
      <c r="B17" s="16"/>
    </row>
    <row r="18" spans="1:5" ht="14.25">
      <c r="A18" s="18"/>
      <c r="B18" s="19" t="s">
        <v>206</v>
      </c>
    </row>
    <row r="19" spans="1:5" ht="15">
      <c r="A19" s="20" t="s">
        <v>0</v>
      </c>
      <c r="B19" s="20" t="s">
        <v>73</v>
      </c>
      <c r="C19" s="20" t="s">
        <v>74</v>
      </c>
      <c r="D19" s="20" t="s">
        <v>75</v>
      </c>
      <c r="E19" s="20" t="s">
        <v>11</v>
      </c>
    </row>
    <row r="20" spans="1:5">
      <c r="A20" s="17" t="s">
        <v>884</v>
      </c>
      <c r="B20" s="5" t="s">
        <v>890</v>
      </c>
      <c r="C20" s="5" t="s">
        <v>87</v>
      </c>
      <c r="D20" s="5" t="s">
        <v>726</v>
      </c>
      <c r="E20" s="21" t="s">
        <v>891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5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>
      <c r="A1" s="33" t="s">
        <v>1702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2</v>
      </c>
      <c r="H3" s="43"/>
      <c r="I3" s="43"/>
      <c r="J3" s="46"/>
      <c r="K3" s="39" t="s">
        <v>3</v>
      </c>
      <c r="L3" s="43"/>
      <c r="M3" s="43"/>
      <c r="N3" s="46"/>
      <c r="O3" s="39" t="s">
        <v>4</v>
      </c>
      <c r="P3" s="43"/>
      <c r="Q3" s="43"/>
      <c r="R3" s="46"/>
      <c r="S3" s="48" t="s">
        <v>9</v>
      </c>
      <c r="T3" s="43" t="s">
        <v>6</v>
      </c>
      <c r="U3" s="46" t="s">
        <v>5</v>
      </c>
    </row>
    <row r="4" spans="1:21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9"/>
      <c r="T4" s="42"/>
      <c r="U4" s="50"/>
    </row>
    <row r="5" spans="1:21" s="5" customFormat="1" ht="15">
      <c r="A5" s="51" t="s">
        <v>144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s="5" customFormat="1">
      <c r="A6" s="22" t="s">
        <v>872</v>
      </c>
      <c r="B6" s="23" t="s">
        <v>873</v>
      </c>
      <c r="C6" s="23" t="s">
        <v>874</v>
      </c>
      <c r="D6" s="23" t="str">
        <f>"0,6359"</f>
        <v>0,6359</v>
      </c>
      <c r="E6" s="22" t="s">
        <v>18</v>
      </c>
      <c r="F6" s="22" t="s">
        <v>60</v>
      </c>
      <c r="G6" s="24" t="s">
        <v>249</v>
      </c>
      <c r="H6" s="24" t="s">
        <v>249</v>
      </c>
      <c r="I6" s="23" t="s">
        <v>249</v>
      </c>
      <c r="J6" s="24"/>
      <c r="K6" s="23" t="s">
        <v>103</v>
      </c>
      <c r="L6" s="24" t="s">
        <v>21</v>
      </c>
      <c r="M6" s="23" t="s">
        <v>21</v>
      </c>
      <c r="N6" s="24"/>
      <c r="O6" s="23" t="s">
        <v>63</v>
      </c>
      <c r="P6" s="23" t="s">
        <v>26</v>
      </c>
      <c r="Q6" s="23" t="s">
        <v>199</v>
      </c>
      <c r="R6" s="24"/>
      <c r="S6" s="22" t="str">
        <f>"352,5"</f>
        <v>352,5</v>
      </c>
      <c r="T6" s="23" t="str">
        <f>"224,1371"</f>
        <v>224,1371</v>
      </c>
      <c r="U6" s="22"/>
    </row>
    <row r="7" spans="1:21" s="5" customFormat="1">
      <c r="A7" s="29" t="s">
        <v>876</v>
      </c>
      <c r="B7" s="28" t="s">
        <v>877</v>
      </c>
      <c r="C7" s="28" t="s">
        <v>878</v>
      </c>
      <c r="D7" s="28" t="str">
        <f>"0,6201"</f>
        <v>0,6201</v>
      </c>
      <c r="E7" s="29" t="s">
        <v>59</v>
      </c>
      <c r="F7" s="29" t="s">
        <v>60</v>
      </c>
      <c r="G7" s="28" t="s">
        <v>166</v>
      </c>
      <c r="H7" s="30" t="s">
        <v>879</v>
      </c>
      <c r="I7" s="30" t="s">
        <v>879</v>
      </c>
      <c r="J7" s="30"/>
      <c r="K7" s="28" t="s">
        <v>33</v>
      </c>
      <c r="L7" s="30" t="s">
        <v>249</v>
      </c>
      <c r="M7" s="28" t="s">
        <v>249</v>
      </c>
      <c r="N7" s="30"/>
      <c r="O7" s="28" t="s">
        <v>151</v>
      </c>
      <c r="P7" s="28" t="s">
        <v>880</v>
      </c>
      <c r="Q7" s="30" t="s">
        <v>197</v>
      </c>
      <c r="R7" s="30"/>
      <c r="S7" s="29" t="str">
        <f>"640,0"</f>
        <v>640,0</v>
      </c>
      <c r="T7" s="28" t="str">
        <f>"396,8640"</f>
        <v>396,8640</v>
      </c>
      <c r="U7" s="29"/>
    </row>
    <row r="9" spans="1:21" ht="15">
      <c r="E9" s="12" t="s">
        <v>64</v>
      </c>
    </row>
    <row r="10" spans="1:21" ht="15">
      <c r="E10" s="12" t="s">
        <v>65</v>
      </c>
    </row>
    <row r="11" spans="1:21" ht="15">
      <c r="E11" s="12" t="s">
        <v>66</v>
      </c>
    </row>
    <row r="12" spans="1:21">
      <c r="E12" s="4" t="s">
        <v>67</v>
      </c>
    </row>
    <row r="13" spans="1:21">
      <c r="E13" s="4" t="s">
        <v>68</v>
      </c>
    </row>
    <row r="14" spans="1:21">
      <c r="E14" s="4" t="s">
        <v>69</v>
      </c>
    </row>
    <row r="17" spans="1:5" ht="18">
      <c r="A17" s="13" t="s">
        <v>70</v>
      </c>
      <c r="B17" s="14"/>
    </row>
    <row r="18" spans="1:5" ht="15">
      <c r="A18" s="15" t="s">
        <v>213</v>
      </c>
      <c r="B18" s="16"/>
    </row>
    <row r="19" spans="1:5" ht="14.25">
      <c r="A19" s="18"/>
      <c r="B19" s="19" t="s">
        <v>214</v>
      </c>
    </row>
    <row r="20" spans="1:5" ht="15">
      <c r="A20" s="20" t="s">
        <v>0</v>
      </c>
      <c r="B20" s="20" t="s">
        <v>73</v>
      </c>
      <c r="C20" s="20" t="s">
        <v>74</v>
      </c>
      <c r="D20" s="20" t="s">
        <v>75</v>
      </c>
      <c r="E20" s="20" t="s">
        <v>11</v>
      </c>
    </row>
    <row r="21" spans="1:5">
      <c r="A21" s="17" t="s">
        <v>871</v>
      </c>
      <c r="B21" s="5" t="s">
        <v>215</v>
      </c>
      <c r="C21" s="5" t="s">
        <v>229</v>
      </c>
      <c r="D21" s="5" t="s">
        <v>526</v>
      </c>
      <c r="E21" s="21" t="s">
        <v>881</v>
      </c>
    </row>
    <row r="23" spans="1:5" ht="14.25">
      <c r="A23" s="18"/>
      <c r="B23" s="19" t="s">
        <v>206</v>
      </c>
    </row>
    <row r="24" spans="1:5" ht="15">
      <c r="A24" s="20" t="s">
        <v>0</v>
      </c>
      <c r="B24" s="20" t="s">
        <v>73</v>
      </c>
      <c r="C24" s="20" t="s">
        <v>74</v>
      </c>
      <c r="D24" s="20" t="s">
        <v>75</v>
      </c>
      <c r="E24" s="20" t="s">
        <v>11</v>
      </c>
    </row>
    <row r="25" spans="1:5">
      <c r="A25" s="17" t="s">
        <v>875</v>
      </c>
      <c r="B25" s="5" t="s">
        <v>241</v>
      </c>
      <c r="C25" s="5" t="s">
        <v>229</v>
      </c>
      <c r="D25" s="5" t="s">
        <v>882</v>
      </c>
      <c r="E25" s="21" t="s">
        <v>883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7" width="4.5703125" style="5" bestFit="1" customWidth="1"/>
    <col min="8" max="8" width="5.5703125" style="53" bestFit="1" customWidth="1"/>
    <col min="9" max="9" width="6.5703125" style="4" bestFit="1" customWidth="1"/>
    <col min="10" max="10" width="9.5703125" style="5" bestFit="1" customWidth="1"/>
    <col min="11" max="11" width="7.42578125" style="4" bestFit="1" customWidth="1"/>
    <col min="12" max="16384" width="9.140625" style="3"/>
  </cols>
  <sheetData>
    <row r="1" spans="1:11" s="2" customFormat="1" ht="29.1" customHeight="1">
      <c r="A1" s="33" t="s">
        <v>1735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1726</v>
      </c>
      <c r="H3" s="43"/>
      <c r="I3" s="48" t="s">
        <v>499</v>
      </c>
      <c r="J3" s="43" t="s">
        <v>6</v>
      </c>
      <c r="K3" s="46" t="s">
        <v>5</v>
      </c>
    </row>
    <row r="4" spans="1:11" s="1" customFormat="1" ht="23.25" customHeight="1" thickBot="1">
      <c r="A4" s="40"/>
      <c r="B4" s="42"/>
      <c r="C4" s="42"/>
      <c r="D4" s="42"/>
      <c r="E4" s="42"/>
      <c r="F4" s="45"/>
      <c r="G4" s="31" t="s">
        <v>1725</v>
      </c>
      <c r="H4" s="55" t="s">
        <v>1724</v>
      </c>
      <c r="I4" s="49"/>
      <c r="J4" s="42"/>
      <c r="K4" s="50"/>
    </row>
    <row r="5" spans="1:11" s="5" customFormat="1" ht="15">
      <c r="A5" s="51" t="s">
        <v>288</v>
      </c>
      <c r="B5" s="52"/>
      <c r="C5" s="52"/>
      <c r="D5" s="52"/>
      <c r="E5" s="52"/>
      <c r="F5" s="52"/>
      <c r="G5" s="52"/>
      <c r="H5" s="52"/>
      <c r="I5" s="52"/>
      <c r="J5" s="52"/>
      <c r="K5" s="4"/>
    </row>
    <row r="6" spans="1:11" s="5" customFormat="1">
      <c r="A6" s="9" t="s">
        <v>1734</v>
      </c>
      <c r="B6" s="10" t="s">
        <v>1733</v>
      </c>
      <c r="C6" s="10" t="s">
        <v>1732</v>
      </c>
      <c r="D6" s="10" t="str">
        <f>"1,0591"</f>
        <v>1,0591</v>
      </c>
      <c r="E6" s="9" t="s">
        <v>1183</v>
      </c>
      <c r="F6" s="9" t="s">
        <v>95</v>
      </c>
      <c r="G6" s="10" t="s">
        <v>897</v>
      </c>
      <c r="H6" s="54" t="s">
        <v>119</v>
      </c>
      <c r="I6" s="9" t="str">
        <f>"5500,0"</f>
        <v>5500,0</v>
      </c>
      <c r="J6" s="10" t="str">
        <f>"6302,7043"</f>
        <v>6302,7043</v>
      </c>
      <c r="K6" s="9"/>
    </row>
    <row r="7" spans="1:11" s="5" customFormat="1">
      <c r="A7" s="4"/>
      <c r="E7" s="4"/>
      <c r="F7" s="4"/>
      <c r="H7" s="53"/>
      <c r="I7" s="4"/>
      <c r="K7" s="4"/>
    </row>
    <row r="8" spans="1:11" ht="15">
      <c r="E8" s="12" t="s">
        <v>64</v>
      </c>
    </row>
    <row r="9" spans="1:11" ht="15">
      <c r="E9" s="12" t="s">
        <v>65</v>
      </c>
    </row>
    <row r="10" spans="1:11" ht="15">
      <c r="E10" s="12" t="s">
        <v>66</v>
      </c>
    </row>
    <row r="11" spans="1:11">
      <c r="E11" s="4" t="s">
        <v>67</v>
      </c>
    </row>
    <row r="12" spans="1:11">
      <c r="E12" s="4" t="s">
        <v>68</v>
      </c>
    </row>
    <row r="13" spans="1:11">
      <c r="E13" s="4" t="s">
        <v>69</v>
      </c>
    </row>
    <row r="16" spans="1:11" ht="18">
      <c r="A16" s="13" t="s">
        <v>70</v>
      </c>
      <c r="B16" s="14"/>
    </row>
    <row r="17" spans="1:5" s="3" customFormat="1" ht="15">
      <c r="A17" s="15" t="s">
        <v>71</v>
      </c>
      <c r="B17" s="32"/>
      <c r="C17" s="5"/>
      <c r="D17" s="5"/>
      <c r="E17" s="4"/>
    </row>
    <row r="18" spans="1:5" s="3" customFormat="1" ht="14.25">
      <c r="A18" s="18"/>
      <c r="B18" s="19" t="s">
        <v>206</v>
      </c>
      <c r="C18" s="5"/>
      <c r="D18" s="5"/>
      <c r="E18" s="4"/>
    </row>
    <row r="19" spans="1:5" s="3" customFormat="1" ht="15">
      <c r="A19" s="20" t="s">
        <v>0</v>
      </c>
      <c r="B19" s="20" t="s">
        <v>73</v>
      </c>
      <c r="C19" s="20" t="s">
        <v>74</v>
      </c>
      <c r="D19" s="20" t="s">
        <v>75</v>
      </c>
      <c r="E19" s="20" t="s">
        <v>11</v>
      </c>
    </row>
    <row r="20" spans="1:5" s="3" customFormat="1">
      <c r="A20" s="17" t="s">
        <v>1731</v>
      </c>
      <c r="B20" s="5" t="s">
        <v>1730</v>
      </c>
      <c r="C20" s="5" t="s">
        <v>457</v>
      </c>
      <c r="D20" s="5" t="s">
        <v>1729</v>
      </c>
      <c r="E20" s="21" t="s">
        <v>1728</v>
      </c>
    </row>
  </sheetData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13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12" style="4" bestFit="1" customWidth="1"/>
    <col min="22" max="16384" width="9.140625" style="3"/>
  </cols>
  <sheetData>
    <row r="1" spans="1:21" s="2" customFormat="1" ht="29.1" customHeight="1">
      <c r="A1" s="33" t="s">
        <v>1701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2</v>
      </c>
      <c r="H3" s="43"/>
      <c r="I3" s="43"/>
      <c r="J3" s="46"/>
      <c r="K3" s="39" t="s">
        <v>3</v>
      </c>
      <c r="L3" s="43"/>
      <c r="M3" s="43"/>
      <c r="N3" s="46"/>
      <c r="O3" s="39" t="s">
        <v>4</v>
      </c>
      <c r="P3" s="43"/>
      <c r="Q3" s="43"/>
      <c r="R3" s="46"/>
      <c r="S3" s="48" t="s">
        <v>9</v>
      </c>
      <c r="T3" s="43" t="s">
        <v>6</v>
      </c>
      <c r="U3" s="46" t="s">
        <v>5</v>
      </c>
    </row>
    <row r="4" spans="1:21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9"/>
      <c r="T4" s="42"/>
      <c r="U4" s="50"/>
    </row>
    <row r="5" spans="1:21" s="5" customFormat="1" ht="15">
      <c r="A5" s="51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s="5" customFormat="1">
      <c r="A6" s="9" t="s">
        <v>284</v>
      </c>
      <c r="B6" s="10" t="s">
        <v>285</v>
      </c>
      <c r="C6" s="10" t="s">
        <v>286</v>
      </c>
      <c r="D6" s="10" t="str">
        <f>"1,1904"</f>
        <v>1,1904</v>
      </c>
      <c r="E6" s="9" t="s">
        <v>59</v>
      </c>
      <c r="F6" s="9" t="s">
        <v>60</v>
      </c>
      <c r="G6" s="10" t="s">
        <v>97</v>
      </c>
      <c r="H6" s="10" t="s">
        <v>190</v>
      </c>
      <c r="I6" s="11" t="s">
        <v>126</v>
      </c>
      <c r="J6" s="11"/>
      <c r="K6" s="10" t="s">
        <v>111</v>
      </c>
      <c r="L6" s="10" t="s">
        <v>287</v>
      </c>
      <c r="M6" s="10" t="s">
        <v>48</v>
      </c>
      <c r="N6" s="11"/>
      <c r="O6" s="10" t="s">
        <v>32</v>
      </c>
      <c r="P6" s="10" t="s">
        <v>249</v>
      </c>
      <c r="Q6" s="10" t="s">
        <v>169</v>
      </c>
      <c r="R6" s="11"/>
      <c r="S6" s="9" t="str">
        <f>"307,5"</f>
        <v>307,5</v>
      </c>
      <c r="T6" s="10" t="str">
        <f>"366,0480"</f>
        <v>366,0480</v>
      </c>
      <c r="U6" s="9"/>
    </row>
    <row r="7" spans="1:21" s="5" customFormat="1">
      <c r="A7" s="4"/>
      <c r="E7" s="4"/>
      <c r="F7" s="4"/>
      <c r="S7" s="4"/>
      <c r="U7" s="4"/>
    </row>
    <row r="8" spans="1:21" ht="15">
      <c r="A8" s="47" t="s">
        <v>728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>
      <c r="A9" s="22" t="s">
        <v>730</v>
      </c>
      <c r="B9" s="23" t="s">
        <v>731</v>
      </c>
      <c r="C9" s="23" t="s">
        <v>732</v>
      </c>
      <c r="D9" s="23" t="str">
        <f>"1,1317"</f>
        <v>1,1317</v>
      </c>
      <c r="E9" s="22" t="s">
        <v>18</v>
      </c>
      <c r="F9" s="22" t="s">
        <v>733</v>
      </c>
      <c r="G9" s="24" t="s">
        <v>125</v>
      </c>
      <c r="H9" s="23" t="s">
        <v>125</v>
      </c>
      <c r="I9" s="24" t="s">
        <v>126</v>
      </c>
      <c r="J9" s="24"/>
      <c r="K9" s="23" t="s">
        <v>48</v>
      </c>
      <c r="L9" s="24" t="s">
        <v>591</v>
      </c>
      <c r="M9" s="23" t="s">
        <v>591</v>
      </c>
      <c r="N9" s="24"/>
      <c r="O9" s="23" t="s">
        <v>126</v>
      </c>
      <c r="P9" s="23" t="s">
        <v>322</v>
      </c>
      <c r="Q9" s="24" t="s">
        <v>142</v>
      </c>
      <c r="R9" s="24"/>
      <c r="S9" s="22" t="str">
        <f>"297,5"</f>
        <v>297,5</v>
      </c>
      <c r="T9" s="23" t="str">
        <f>"336,6808"</f>
        <v>336,6808</v>
      </c>
      <c r="U9" s="22"/>
    </row>
    <row r="10" spans="1:21">
      <c r="A10" s="29" t="s">
        <v>735</v>
      </c>
      <c r="B10" s="28" t="s">
        <v>736</v>
      </c>
      <c r="C10" s="28" t="s">
        <v>737</v>
      </c>
      <c r="D10" s="28" t="str">
        <f>"1,1144"</f>
        <v>1,1144</v>
      </c>
      <c r="E10" s="29" t="s">
        <v>18</v>
      </c>
      <c r="F10" s="29" t="s">
        <v>60</v>
      </c>
      <c r="G10" s="28" t="s">
        <v>103</v>
      </c>
      <c r="H10" s="28" t="s">
        <v>21</v>
      </c>
      <c r="I10" s="30" t="s">
        <v>35</v>
      </c>
      <c r="J10" s="30"/>
      <c r="K10" s="28" t="s">
        <v>738</v>
      </c>
      <c r="L10" s="28" t="s">
        <v>51</v>
      </c>
      <c r="M10" s="28" t="s">
        <v>23</v>
      </c>
      <c r="N10" s="30"/>
      <c r="O10" s="28" t="s">
        <v>53</v>
      </c>
      <c r="P10" s="28" t="s">
        <v>304</v>
      </c>
      <c r="Q10" s="28" t="s">
        <v>125</v>
      </c>
      <c r="R10" s="30"/>
      <c r="S10" s="29" t="str">
        <f>"235,0"</f>
        <v>235,0</v>
      </c>
      <c r="T10" s="28" t="str">
        <f>"261,8840"</f>
        <v>261,8840</v>
      </c>
      <c r="U10" s="29"/>
    </row>
    <row r="12" spans="1:21" ht="15">
      <c r="A12" s="47" t="s">
        <v>288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1">
      <c r="A13" s="22" t="s">
        <v>740</v>
      </c>
      <c r="B13" s="23" t="s">
        <v>741</v>
      </c>
      <c r="C13" s="23" t="s">
        <v>742</v>
      </c>
      <c r="D13" s="23" t="str">
        <f>"1,0484"</f>
        <v>1,0484</v>
      </c>
      <c r="E13" s="22" t="s">
        <v>18</v>
      </c>
      <c r="F13" s="22" t="s">
        <v>60</v>
      </c>
      <c r="G13" s="23" t="s">
        <v>32</v>
      </c>
      <c r="H13" s="23" t="s">
        <v>199</v>
      </c>
      <c r="I13" s="24" t="s">
        <v>37</v>
      </c>
      <c r="J13" s="24"/>
      <c r="K13" s="23" t="s">
        <v>48</v>
      </c>
      <c r="L13" s="23" t="s">
        <v>591</v>
      </c>
      <c r="M13" s="24" t="s">
        <v>293</v>
      </c>
      <c r="N13" s="24"/>
      <c r="O13" s="23" t="s">
        <v>33</v>
      </c>
      <c r="P13" s="23" t="s">
        <v>37</v>
      </c>
      <c r="Q13" s="23" t="s">
        <v>136</v>
      </c>
      <c r="R13" s="24"/>
      <c r="S13" s="22" t="str">
        <f>"337,5"</f>
        <v>337,5</v>
      </c>
      <c r="T13" s="23" t="str">
        <f>"353,8350"</f>
        <v>353,8350</v>
      </c>
      <c r="U13" s="22"/>
    </row>
    <row r="14" spans="1:21">
      <c r="A14" s="29" t="s">
        <v>744</v>
      </c>
      <c r="B14" s="28" t="s">
        <v>745</v>
      </c>
      <c r="C14" s="28" t="s">
        <v>746</v>
      </c>
      <c r="D14" s="28" t="str">
        <f>"1,0622"</f>
        <v>1,0622</v>
      </c>
      <c r="E14" s="29" t="s">
        <v>18</v>
      </c>
      <c r="F14" s="29" t="s">
        <v>95</v>
      </c>
      <c r="G14" s="28" t="s">
        <v>62</v>
      </c>
      <c r="H14" s="28" t="s">
        <v>103</v>
      </c>
      <c r="I14" s="30" t="s">
        <v>21</v>
      </c>
      <c r="J14" s="30"/>
      <c r="K14" s="28" t="s">
        <v>47</v>
      </c>
      <c r="L14" s="28" t="s">
        <v>287</v>
      </c>
      <c r="M14" s="30" t="s">
        <v>48</v>
      </c>
      <c r="N14" s="30"/>
      <c r="O14" s="28" t="s">
        <v>24</v>
      </c>
      <c r="P14" s="28" t="s">
        <v>25</v>
      </c>
      <c r="Q14" s="30" t="s">
        <v>26</v>
      </c>
      <c r="R14" s="30"/>
      <c r="S14" s="29" t="str">
        <f>"222,5"</f>
        <v>222,5</v>
      </c>
      <c r="T14" s="28" t="str">
        <f>"263,0459"</f>
        <v>263,0459</v>
      </c>
      <c r="U14" s="29"/>
    </row>
    <row r="16" spans="1:21" ht="15">
      <c r="A16" s="47" t="s">
        <v>27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1">
      <c r="A17" s="22" t="s">
        <v>748</v>
      </c>
      <c r="B17" s="23" t="s">
        <v>749</v>
      </c>
      <c r="C17" s="23" t="s">
        <v>31</v>
      </c>
      <c r="D17" s="23" t="str">
        <f>"0,9916"</f>
        <v>0,9916</v>
      </c>
      <c r="E17" s="22" t="s">
        <v>750</v>
      </c>
      <c r="F17" s="22" t="s">
        <v>95</v>
      </c>
      <c r="G17" s="23" t="s">
        <v>62</v>
      </c>
      <c r="H17" s="23" t="s">
        <v>103</v>
      </c>
      <c r="I17" s="23" t="s">
        <v>96</v>
      </c>
      <c r="J17" s="24"/>
      <c r="K17" s="23" t="s">
        <v>22</v>
      </c>
      <c r="L17" s="23" t="s">
        <v>23</v>
      </c>
      <c r="M17" s="23" t="s">
        <v>111</v>
      </c>
      <c r="N17" s="24"/>
      <c r="O17" s="23" t="s">
        <v>21</v>
      </c>
      <c r="P17" s="23" t="s">
        <v>34</v>
      </c>
      <c r="Q17" s="23" t="s">
        <v>52</v>
      </c>
      <c r="R17" s="24"/>
      <c r="S17" s="22" t="str">
        <f>"207,5"</f>
        <v>207,5</v>
      </c>
      <c r="T17" s="23" t="str">
        <f>"205,7570"</f>
        <v>205,7570</v>
      </c>
      <c r="U17" s="22"/>
    </row>
    <row r="18" spans="1:21">
      <c r="A18" s="29" t="s">
        <v>751</v>
      </c>
      <c r="B18" s="28" t="s">
        <v>752</v>
      </c>
      <c r="C18" s="28" t="s">
        <v>753</v>
      </c>
      <c r="D18" s="28" t="str">
        <f>"1,0079"</f>
        <v>1,0079</v>
      </c>
      <c r="E18" s="29" t="s">
        <v>341</v>
      </c>
      <c r="F18" s="29" t="s">
        <v>415</v>
      </c>
      <c r="G18" s="30" t="s">
        <v>26</v>
      </c>
      <c r="H18" s="30" t="s">
        <v>26</v>
      </c>
      <c r="I18" s="30" t="s">
        <v>26</v>
      </c>
      <c r="J18" s="30"/>
      <c r="K18" s="30" t="s">
        <v>47</v>
      </c>
      <c r="L18" s="30"/>
      <c r="M18" s="30"/>
      <c r="N18" s="30"/>
      <c r="O18" s="30" t="s">
        <v>63</v>
      </c>
      <c r="P18" s="30"/>
      <c r="Q18" s="30"/>
      <c r="R18" s="30"/>
      <c r="S18" s="29" t="str">
        <f>"0.00"</f>
        <v>0.00</v>
      </c>
      <c r="T18" s="28" t="str">
        <f>"0,0000"</f>
        <v>0,0000</v>
      </c>
      <c r="U18" s="29" t="s">
        <v>754</v>
      </c>
    </row>
    <row r="20" spans="1:21" ht="15">
      <c r="A20" s="47" t="s">
        <v>41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1">
      <c r="A21" s="22" t="s">
        <v>756</v>
      </c>
      <c r="B21" s="23" t="s">
        <v>757</v>
      </c>
      <c r="C21" s="23" t="s">
        <v>758</v>
      </c>
      <c r="D21" s="23" t="str">
        <f>"0,9166"</f>
        <v>0,9166</v>
      </c>
      <c r="E21" s="22" t="s">
        <v>18</v>
      </c>
      <c r="F21" s="22" t="s">
        <v>95</v>
      </c>
      <c r="G21" s="23" t="s">
        <v>63</v>
      </c>
      <c r="H21" s="23" t="s">
        <v>26</v>
      </c>
      <c r="I21" s="23" t="s">
        <v>125</v>
      </c>
      <c r="J21" s="24"/>
      <c r="K21" s="23" t="s">
        <v>293</v>
      </c>
      <c r="L21" s="23" t="s">
        <v>61</v>
      </c>
      <c r="M21" s="24" t="s">
        <v>294</v>
      </c>
      <c r="N21" s="24"/>
      <c r="O21" s="23" t="s">
        <v>125</v>
      </c>
      <c r="P21" s="23" t="s">
        <v>126</v>
      </c>
      <c r="Q21" s="23" t="s">
        <v>32</v>
      </c>
      <c r="R21" s="24"/>
      <c r="S21" s="22" t="str">
        <f>"300,0"</f>
        <v>300,0</v>
      </c>
      <c r="T21" s="23" t="str">
        <f>"274,9950"</f>
        <v>274,9950</v>
      </c>
      <c r="U21" s="22"/>
    </row>
    <row r="22" spans="1:21">
      <c r="A22" s="29" t="s">
        <v>760</v>
      </c>
      <c r="B22" s="28" t="s">
        <v>761</v>
      </c>
      <c r="C22" s="28" t="s">
        <v>762</v>
      </c>
      <c r="D22" s="28" t="str">
        <f>"0,9102"</f>
        <v>0,9102</v>
      </c>
      <c r="E22" s="29" t="s">
        <v>18</v>
      </c>
      <c r="F22" s="29" t="s">
        <v>60</v>
      </c>
      <c r="G22" s="30" t="s">
        <v>63</v>
      </c>
      <c r="H22" s="28" t="s">
        <v>63</v>
      </c>
      <c r="I22" s="30" t="s">
        <v>25</v>
      </c>
      <c r="J22" s="30"/>
      <c r="K22" s="28" t="s">
        <v>61</v>
      </c>
      <c r="L22" s="28" t="s">
        <v>62</v>
      </c>
      <c r="M22" s="28" t="s">
        <v>103</v>
      </c>
      <c r="N22" s="30" t="s">
        <v>96</v>
      </c>
      <c r="O22" s="28" t="s">
        <v>26</v>
      </c>
      <c r="P22" s="28" t="s">
        <v>126</v>
      </c>
      <c r="Q22" s="28" t="s">
        <v>322</v>
      </c>
      <c r="R22" s="30"/>
      <c r="S22" s="29" t="str">
        <f>"297,5"</f>
        <v>297,5</v>
      </c>
      <c r="T22" s="28" t="str">
        <f>"292,9888"</f>
        <v>292,9888</v>
      </c>
      <c r="U22" s="29"/>
    </row>
    <row r="24" spans="1:21" ht="15">
      <c r="A24" s="47" t="s">
        <v>305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1">
      <c r="A25" s="9" t="s">
        <v>764</v>
      </c>
      <c r="B25" s="10" t="s">
        <v>765</v>
      </c>
      <c r="C25" s="10" t="s">
        <v>766</v>
      </c>
      <c r="D25" s="10" t="str">
        <f>"0,7877"</f>
        <v>0,7877</v>
      </c>
      <c r="E25" s="9" t="s">
        <v>94</v>
      </c>
      <c r="F25" s="9" t="s">
        <v>95</v>
      </c>
      <c r="G25" s="10" t="s">
        <v>126</v>
      </c>
      <c r="H25" s="11" t="s">
        <v>322</v>
      </c>
      <c r="I25" s="11" t="s">
        <v>142</v>
      </c>
      <c r="J25" s="11"/>
      <c r="K25" s="10" t="s">
        <v>294</v>
      </c>
      <c r="L25" s="10" t="s">
        <v>62</v>
      </c>
      <c r="M25" s="11" t="s">
        <v>103</v>
      </c>
      <c r="N25" s="11"/>
      <c r="O25" s="10" t="s">
        <v>136</v>
      </c>
      <c r="P25" s="10" t="s">
        <v>124</v>
      </c>
      <c r="Q25" s="11" t="s">
        <v>178</v>
      </c>
      <c r="R25" s="11"/>
      <c r="S25" s="9" t="str">
        <f>"345,0"</f>
        <v>345,0</v>
      </c>
      <c r="T25" s="10" t="str">
        <f>"271,7565"</f>
        <v>271,7565</v>
      </c>
      <c r="U25" s="9"/>
    </row>
    <row r="27" spans="1:21" ht="15">
      <c r="A27" s="47" t="s">
        <v>767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1">
      <c r="A28" s="9" t="s">
        <v>769</v>
      </c>
      <c r="B28" s="10" t="s">
        <v>770</v>
      </c>
      <c r="C28" s="10" t="s">
        <v>771</v>
      </c>
      <c r="D28" s="10" t="str">
        <f>"0,7187"</f>
        <v>0,7187</v>
      </c>
      <c r="E28" s="9" t="s">
        <v>18</v>
      </c>
      <c r="F28" s="9" t="s">
        <v>60</v>
      </c>
      <c r="G28" s="10" t="s">
        <v>591</v>
      </c>
      <c r="H28" s="10" t="s">
        <v>62</v>
      </c>
      <c r="I28" s="10" t="s">
        <v>96</v>
      </c>
      <c r="J28" s="11"/>
      <c r="K28" s="10" t="s">
        <v>47</v>
      </c>
      <c r="L28" s="10" t="s">
        <v>48</v>
      </c>
      <c r="M28" s="10" t="s">
        <v>591</v>
      </c>
      <c r="N28" s="11"/>
      <c r="O28" s="10" t="s">
        <v>63</v>
      </c>
      <c r="P28" s="10" t="s">
        <v>190</v>
      </c>
      <c r="Q28" s="10" t="s">
        <v>126</v>
      </c>
      <c r="R28" s="11"/>
      <c r="S28" s="9" t="str">
        <f>"250,0"</f>
        <v>250,0</v>
      </c>
      <c r="T28" s="10" t="str">
        <f>"179,6750"</f>
        <v>179,6750</v>
      </c>
      <c r="U28" s="9"/>
    </row>
    <row r="30" spans="1:21" ht="15">
      <c r="A30" s="47" t="s">
        <v>41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1">
      <c r="A31" s="22" t="s">
        <v>773</v>
      </c>
      <c r="B31" s="23" t="s">
        <v>774</v>
      </c>
      <c r="C31" s="23" t="s">
        <v>775</v>
      </c>
      <c r="D31" s="23" t="str">
        <f>"0,8223"</f>
        <v>0,8223</v>
      </c>
      <c r="E31" s="22" t="s">
        <v>750</v>
      </c>
      <c r="F31" s="22" t="s">
        <v>95</v>
      </c>
      <c r="G31" s="23" t="s">
        <v>103</v>
      </c>
      <c r="H31" s="23" t="s">
        <v>96</v>
      </c>
      <c r="I31" s="23" t="s">
        <v>20</v>
      </c>
      <c r="J31" s="24"/>
      <c r="K31" s="23" t="s">
        <v>47</v>
      </c>
      <c r="L31" s="23" t="s">
        <v>48</v>
      </c>
      <c r="M31" s="24" t="s">
        <v>591</v>
      </c>
      <c r="N31" s="24"/>
      <c r="O31" s="23" t="s">
        <v>34</v>
      </c>
      <c r="P31" s="23" t="s">
        <v>52</v>
      </c>
      <c r="Q31" s="24"/>
      <c r="R31" s="24"/>
      <c r="S31" s="22" t="str">
        <f>"217,5"</f>
        <v>217,5</v>
      </c>
      <c r="T31" s="23" t="str">
        <f>"178,8503"</f>
        <v>178,8503</v>
      </c>
      <c r="U31" s="22" t="s">
        <v>776</v>
      </c>
    </row>
    <row r="32" spans="1:21">
      <c r="A32" s="29" t="s">
        <v>778</v>
      </c>
      <c r="B32" s="28" t="s">
        <v>779</v>
      </c>
      <c r="C32" s="28" t="s">
        <v>780</v>
      </c>
      <c r="D32" s="28" t="str">
        <f>"0,7561"</f>
        <v>0,7561</v>
      </c>
      <c r="E32" s="29" t="s">
        <v>18</v>
      </c>
      <c r="F32" s="29" t="s">
        <v>781</v>
      </c>
      <c r="G32" s="28" t="s">
        <v>170</v>
      </c>
      <c r="H32" s="28" t="s">
        <v>250</v>
      </c>
      <c r="I32" s="30" t="s">
        <v>117</v>
      </c>
      <c r="J32" s="30"/>
      <c r="K32" s="30" t="s">
        <v>63</v>
      </c>
      <c r="L32" s="28" t="s">
        <v>63</v>
      </c>
      <c r="M32" s="28" t="s">
        <v>25</v>
      </c>
      <c r="N32" s="30"/>
      <c r="O32" s="28" t="s">
        <v>118</v>
      </c>
      <c r="P32" s="28" t="s">
        <v>149</v>
      </c>
      <c r="Q32" s="28" t="s">
        <v>156</v>
      </c>
      <c r="R32" s="30"/>
      <c r="S32" s="29" t="str">
        <f>"462,5"</f>
        <v>462,5</v>
      </c>
      <c r="T32" s="28" t="str">
        <f>"349,6962"</f>
        <v>349,6962</v>
      </c>
      <c r="U32" s="29"/>
    </row>
    <row r="34" spans="1:21" ht="15">
      <c r="A34" s="47" t="s">
        <v>54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1">
      <c r="A35" s="9" t="s">
        <v>783</v>
      </c>
      <c r="B35" s="10" t="s">
        <v>784</v>
      </c>
      <c r="C35" s="10" t="s">
        <v>628</v>
      </c>
      <c r="D35" s="10" t="str">
        <f>"0,6955"</f>
        <v>0,6955</v>
      </c>
      <c r="E35" s="9" t="s">
        <v>18</v>
      </c>
      <c r="F35" s="9" t="s">
        <v>60</v>
      </c>
      <c r="G35" s="11" t="s">
        <v>141</v>
      </c>
      <c r="H35" s="10" t="s">
        <v>141</v>
      </c>
      <c r="I35" s="11"/>
      <c r="J35" s="11"/>
      <c r="K35" s="10" t="s">
        <v>32</v>
      </c>
      <c r="L35" s="10" t="s">
        <v>199</v>
      </c>
      <c r="M35" s="11" t="s">
        <v>366</v>
      </c>
      <c r="N35" s="11"/>
      <c r="O35" s="10" t="s">
        <v>129</v>
      </c>
      <c r="P35" s="10" t="s">
        <v>143</v>
      </c>
      <c r="Q35" s="10" t="s">
        <v>141</v>
      </c>
      <c r="R35" s="11"/>
      <c r="S35" s="9" t="str">
        <f>"612,5"</f>
        <v>612,5</v>
      </c>
      <c r="T35" s="10" t="str">
        <f>"425,9631"</f>
        <v>425,9631</v>
      </c>
      <c r="U35" s="9"/>
    </row>
    <row r="37" spans="1:21" ht="15">
      <c r="A37" s="47" t="s">
        <v>305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1">
      <c r="A38" s="22" t="s">
        <v>786</v>
      </c>
      <c r="B38" s="23" t="s">
        <v>787</v>
      </c>
      <c r="C38" s="23" t="s">
        <v>788</v>
      </c>
      <c r="D38" s="23" t="str">
        <f>"0,6518"</f>
        <v>0,6518</v>
      </c>
      <c r="E38" s="22" t="s">
        <v>59</v>
      </c>
      <c r="F38" s="22" t="s">
        <v>60</v>
      </c>
      <c r="G38" s="23" t="s">
        <v>52</v>
      </c>
      <c r="H38" s="23" t="s">
        <v>63</v>
      </c>
      <c r="I38" s="23" t="s">
        <v>26</v>
      </c>
      <c r="J38" s="24"/>
      <c r="K38" s="23" t="s">
        <v>591</v>
      </c>
      <c r="L38" s="23" t="s">
        <v>61</v>
      </c>
      <c r="M38" s="23" t="s">
        <v>294</v>
      </c>
      <c r="N38" s="24"/>
      <c r="O38" s="23" t="s">
        <v>33</v>
      </c>
      <c r="P38" s="23" t="s">
        <v>169</v>
      </c>
      <c r="Q38" s="24" t="s">
        <v>170</v>
      </c>
      <c r="R38" s="24"/>
      <c r="S38" s="22" t="str">
        <f>"317,5"</f>
        <v>317,5</v>
      </c>
      <c r="T38" s="23" t="str">
        <f>"206,9624"</f>
        <v>206,9624</v>
      </c>
      <c r="U38" s="22"/>
    </row>
    <row r="39" spans="1:21">
      <c r="A39" s="25" t="s">
        <v>790</v>
      </c>
      <c r="B39" s="26" t="s">
        <v>791</v>
      </c>
      <c r="C39" s="26" t="s">
        <v>349</v>
      </c>
      <c r="D39" s="26" t="str">
        <f>"0,6492"</f>
        <v>0,6492</v>
      </c>
      <c r="E39" s="25" t="s">
        <v>59</v>
      </c>
      <c r="F39" s="25" t="s">
        <v>60</v>
      </c>
      <c r="G39" s="27" t="s">
        <v>118</v>
      </c>
      <c r="H39" s="27" t="s">
        <v>118</v>
      </c>
      <c r="I39" s="27" t="s">
        <v>118</v>
      </c>
      <c r="J39" s="27"/>
      <c r="K39" s="27" t="s">
        <v>337</v>
      </c>
      <c r="L39" s="27"/>
      <c r="M39" s="27"/>
      <c r="N39" s="27"/>
      <c r="O39" s="27" t="s">
        <v>253</v>
      </c>
      <c r="P39" s="27"/>
      <c r="Q39" s="27"/>
      <c r="R39" s="27"/>
      <c r="S39" s="25" t="str">
        <f>"0.00"</f>
        <v>0.00</v>
      </c>
      <c r="T39" s="26" t="str">
        <f>"0,0000"</f>
        <v>0,0000</v>
      </c>
      <c r="U39" s="25"/>
    </row>
    <row r="40" spans="1:21">
      <c r="A40" s="25" t="s">
        <v>793</v>
      </c>
      <c r="B40" s="26" t="s">
        <v>794</v>
      </c>
      <c r="C40" s="26" t="s">
        <v>795</v>
      </c>
      <c r="D40" s="26" t="str">
        <f>"0,6513"</f>
        <v>0,6513</v>
      </c>
      <c r="E40" s="25" t="s">
        <v>18</v>
      </c>
      <c r="F40" s="25" t="s">
        <v>796</v>
      </c>
      <c r="G40" s="26" t="s">
        <v>124</v>
      </c>
      <c r="H40" s="26" t="s">
        <v>118</v>
      </c>
      <c r="I40" s="26" t="s">
        <v>119</v>
      </c>
      <c r="J40" s="27"/>
      <c r="K40" s="26" t="s">
        <v>125</v>
      </c>
      <c r="L40" s="26" t="s">
        <v>322</v>
      </c>
      <c r="M40" s="26" t="s">
        <v>249</v>
      </c>
      <c r="N40" s="27"/>
      <c r="O40" s="26" t="s">
        <v>118</v>
      </c>
      <c r="P40" s="26" t="s">
        <v>150</v>
      </c>
      <c r="Q40" s="27" t="s">
        <v>143</v>
      </c>
      <c r="R40" s="27"/>
      <c r="S40" s="25" t="str">
        <f>"550,0"</f>
        <v>550,0</v>
      </c>
      <c r="T40" s="26" t="str">
        <f>"358,2150"</f>
        <v>358,2150</v>
      </c>
      <c r="U40" s="25"/>
    </row>
    <row r="41" spans="1:21">
      <c r="A41" s="25" t="s">
        <v>790</v>
      </c>
      <c r="B41" s="26" t="s">
        <v>797</v>
      </c>
      <c r="C41" s="26" t="s">
        <v>349</v>
      </c>
      <c r="D41" s="26" t="str">
        <f>"0,6492"</f>
        <v>0,6492</v>
      </c>
      <c r="E41" s="25" t="s">
        <v>59</v>
      </c>
      <c r="F41" s="25" t="s">
        <v>60</v>
      </c>
      <c r="G41" s="27" t="s">
        <v>118</v>
      </c>
      <c r="H41" s="27" t="s">
        <v>118</v>
      </c>
      <c r="I41" s="27" t="s">
        <v>118</v>
      </c>
      <c r="J41" s="27"/>
      <c r="K41" s="27" t="s">
        <v>337</v>
      </c>
      <c r="L41" s="27"/>
      <c r="M41" s="27"/>
      <c r="N41" s="27"/>
      <c r="O41" s="27" t="s">
        <v>253</v>
      </c>
      <c r="P41" s="27"/>
      <c r="Q41" s="27"/>
      <c r="R41" s="27"/>
      <c r="S41" s="25" t="str">
        <f>"0.00"</f>
        <v>0.00</v>
      </c>
      <c r="T41" s="26" t="str">
        <f>"0,0000"</f>
        <v>0,0000</v>
      </c>
      <c r="U41" s="25"/>
    </row>
    <row r="42" spans="1:21">
      <c r="A42" s="29" t="s">
        <v>799</v>
      </c>
      <c r="B42" s="28" t="s">
        <v>800</v>
      </c>
      <c r="C42" s="28" t="s">
        <v>801</v>
      </c>
      <c r="D42" s="28" t="str">
        <f>"0,6730"</f>
        <v>0,6730</v>
      </c>
      <c r="E42" s="29" t="s">
        <v>59</v>
      </c>
      <c r="F42" s="29" t="s">
        <v>60</v>
      </c>
      <c r="G42" s="28" t="s">
        <v>136</v>
      </c>
      <c r="H42" s="28" t="s">
        <v>124</v>
      </c>
      <c r="I42" s="28" t="s">
        <v>117</v>
      </c>
      <c r="J42" s="30"/>
      <c r="K42" s="28" t="s">
        <v>63</v>
      </c>
      <c r="L42" s="28" t="s">
        <v>26</v>
      </c>
      <c r="M42" s="30" t="s">
        <v>191</v>
      </c>
      <c r="N42" s="30"/>
      <c r="O42" s="28" t="s">
        <v>136</v>
      </c>
      <c r="P42" s="28" t="s">
        <v>178</v>
      </c>
      <c r="Q42" s="28" t="s">
        <v>118</v>
      </c>
      <c r="R42" s="30"/>
      <c r="S42" s="29" t="str">
        <f>"460,0"</f>
        <v>460,0</v>
      </c>
      <c r="T42" s="28" t="str">
        <f>"326,6312"</f>
        <v>326,6312</v>
      </c>
      <c r="U42" s="29"/>
    </row>
    <row r="44" spans="1:21" ht="15">
      <c r="A44" s="47" t="s">
        <v>144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1">
      <c r="A45" s="22" t="s">
        <v>803</v>
      </c>
      <c r="B45" s="23" t="s">
        <v>804</v>
      </c>
      <c r="C45" s="23" t="s">
        <v>805</v>
      </c>
      <c r="D45" s="23" t="str">
        <f>"0,6411"</f>
        <v>0,6411</v>
      </c>
      <c r="E45" s="22" t="s">
        <v>59</v>
      </c>
      <c r="F45" s="22" t="s">
        <v>60</v>
      </c>
      <c r="G45" s="24" t="s">
        <v>169</v>
      </c>
      <c r="H45" s="23" t="s">
        <v>169</v>
      </c>
      <c r="I45" s="24" t="s">
        <v>124</v>
      </c>
      <c r="J45" s="24"/>
      <c r="K45" s="23" t="s">
        <v>52</v>
      </c>
      <c r="L45" s="24" t="s">
        <v>24</v>
      </c>
      <c r="M45" s="24" t="s">
        <v>24</v>
      </c>
      <c r="N45" s="24"/>
      <c r="O45" s="23" t="s">
        <v>117</v>
      </c>
      <c r="P45" s="23" t="s">
        <v>118</v>
      </c>
      <c r="Q45" s="24" t="s">
        <v>252</v>
      </c>
      <c r="R45" s="24"/>
      <c r="S45" s="22" t="str">
        <f>"415,0"</f>
        <v>415,0</v>
      </c>
      <c r="T45" s="23" t="str">
        <f>"266,0565"</f>
        <v>266,0565</v>
      </c>
      <c r="U45" s="22"/>
    </row>
    <row r="46" spans="1:21">
      <c r="A46" s="25" t="s">
        <v>807</v>
      </c>
      <c r="B46" s="26" t="s">
        <v>808</v>
      </c>
      <c r="C46" s="26" t="s">
        <v>809</v>
      </c>
      <c r="D46" s="26" t="str">
        <f>"0,6177"</f>
        <v>0,6177</v>
      </c>
      <c r="E46" s="25" t="s">
        <v>59</v>
      </c>
      <c r="F46" s="25" t="s">
        <v>60</v>
      </c>
      <c r="G46" s="26" t="s">
        <v>128</v>
      </c>
      <c r="H46" s="26" t="s">
        <v>401</v>
      </c>
      <c r="I46" s="27"/>
      <c r="J46" s="27"/>
      <c r="K46" s="26" t="s">
        <v>25</v>
      </c>
      <c r="L46" s="26" t="s">
        <v>125</v>
      </c>
      <c r="M46" s="27" t="s">
        <v>127</v>
      </c>
      <c r="N46" s="27"/>
      <c r="O46" s="26" t="s">
        <v>141</v>
      </c>
      <c r="P46" s="26" t="s">
        <v>810</v>
      </c>
      <c r="Q46" s="26" t="s">
        <v>811</v>
      </c>
      <c r="R46" s="27"/>
      <c r="S46" s="25" t="str">
        <f>"612,5"</f>
        <v>612,5</v>
      </c>
      <c r="T46" s="26" t="str">
        <f>"378,3412"</f>
        <v>378,3412</v>
      </c>
      <c r="U46" s="25"/>
    </row>
    <row r="47" spans="1:21">
      <c r="A47" s="29" t="s">
        <v>807</v>
      </c>
      <c r="B47" s="28" t="s">
        <v>812</v>
      </c>
      <c r="C47" s="28" t="s">
        <v>809</v>
      </c>
      <c r="D47" s="28" t="str">
        <f>"0,6177"</f>
        <v>0,6177</v>
      </c>
      <c r="E47" s="29" t="s">
        <v>59</v>
      </c>
      <c r="F47" s="29" t="s">
        <v>60</v>
      </c>
      <c r="G47" s="28" t="s">
        <v>128</v>
      </c>
      <c r="H47" s="28" t="s">
        <v>401</v>
      </c>
      <c r="I47" s="30"/>
      <c r="J47" s="30"/>
      <c r="K47" s="28" t="s">
        <v>25</v>
      </c>
      <c r="L47" s="28" t="s">
        <v>125</v>
      </c>
      <c r="M47" s="30" t="s">
        <v>127</v>
      </c>
      <c r="N47" s="30"/>
      <c r="O47" s="28" t="s">
        <v>141</v>
      </c>
      <c r="P47" s="28" t="s">
        <v>810</v>
      </c>
      <c r="Q47" s="28" t="s">
        <v>811</v>
      </c>
      <c r="R47" s="30"/>
      <c r="S47" s="29" t="str">
        <f>"612,5"</f>
        <v>612,5</v>
      </c>
      <c r="T47" s="28" t="str">
        <f>"378,3412"</f>
        <v>378,3412</v>
      </c>
      <c r="U47" s="29"/>
    </row>
    <row r="49" spans="1:21" ht="15">
      <c r="A49" s="47" t="s">
        <v>161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1:21">
      <c r="A50" s="22" t="s">
        <v>814</v>
      </c>
      <c r="B50" s="23" t="s">
        <v>815</v>
      </c>
      <c r="C50" s="23" t="s">
        <v>816</v>
      </c>
      <c r="D50" s="23" t="str">
        <f>"0,5943"</f>
        <v>0,5943</v>
      </c>
      <c r="E50" s="22" t="s">
        <v>341</v>
      </c>
      <c r="F50" s="22" t="s">
        <v>415</v>
      </c>
      <c r="G50" s="23" t="s">
        <v>85</v>
      </c>
      <c r="H50" s="23" t="s">
        <v>143</v>
      </c>
      <c r="I50" s="23" t="s">
        <v>428</v>
      </c>
      <c r="J50" s="24"/>
      <c r="K50" s="23" t="s">
        <v>136</v>
      </c>
      <c r="L50" s="23" t="s">
        <v>604</v>
      </c>
      <c r="M50" s="23" t="s">
        <v>178</v>
      </c>
      <c r="N50" s="24"/>
      <c r="O50" s="23" t="s">
        <v>141</v>
      </c>
      <c r="P50" s="23" t="s">
        <v>817</v>
      </c>
      <c r="Q50" s="24" t="s">
        <v>198</v>
      </c>
      <c r="R50" s="24"/>
      <c r="S50" s="22" t="str">
        <f>"660,0"</f>
        <v>660,0</v>
      </c>
      <c r="T50" s="23" t="str">
        <f>"392,2380"</f>
        <v>392,2380</v>
      </c>
      <c r="U50" s="22"/>
    </row>
    <row r="51" spans="1:21">
      <c r="A51" s="29" t="s">
        <v>819</v>
      </c>
      <c r="B51" s="28" t="s">
        <v>820</v>
      </c>
      <c r="C51" s="28" t="s">
        <v>821</v>
      </c>
      <c r="D51" s="28" t="str">
        <f>"0,5949"</f>
        <v>0,5949</v>
      </c>
      <c r="E51" s="29" t="s">
        <v>59</v>
      </c>
      <c r="F51" s="29" t="s">
        <v>60</v>
      </c>
      <c r="G51" s="28" t="s">
        <v>249</v>
      </c>
      <c r="H51" s="28" t="s">
        <v>136</v>
      </c>
      <c r="I51" s="28" t="s">
        <v>117</v>
      </c>
      <c r="J51" s="30"/>
      <c r="K51" s="28" t="s">
        <v>26</v>
      </c>
      <c r="L51" s="28" t="s">
        <v>126</v>
      </c>
      <c r="M51" s="30" t="s">
        <v>33</v>
      </c>
      <c r="N51" s="30"/>
      <c r="O51" s="28" t="s">
        <v>124</v>
      </c>
      <c r="P51" s="28" t="s">
        <v>118</v>
      </c>
      <c r="Q51" s="28" t="s">
        <v>119</v>
      </c>
      <c r="R51" s="30"/>
      <c r="S51" s="29" t="str">
        <f>"490,0"</f>
        <v>490,0</v>
      </c>
      <c r="T51" s="28" t="str">
        <f>"291,5010"</f>
        <v>291,5010</v>
      </c>
      <c r="U51" s="29"/>
    </row>
    <row r="53" spans="1:21" ht="15">
      <c r="A53" s="47" t="s">
        <v>184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1">
      <c r="A54" s="22" t="s">
        <v>823</v>
      </c>
      <c r="B54" s="23" t="s">
        <v>824</v>
      </c>
      <c r="C54" s="23" t="s">
        <v>399</v>
      </c>
      <c r="D54" s="23" t="str">
        <f>"0,5655"</f>
        <v>0,5655</v>
      </c>
      <c r="E54" s="22" t="s">
        <v>59</v>
      </c>
      <c r="F54" s="22" t="s">
        <v>60</v>
      </c>
      <c r="G54" s="23" t="s">
        <v>129</v>
      </c>
      <c r="H54" s="24" t="s">
        <v>143</v>
      </c>
      <c r="I54" s="23" t="s">
        <v>143</v>
      </c>
      <c r="J54" s="24"/>
      <c r="K54" s="23" t="s">
        <v>25</v>
      </c>
      <c r="L54" s="24" t="s">
        <v>125</v>
      </c>
      <c r="M54" s="23" t="s">
        <v>125</v>
      </c>
      <c r="N54" s="24"/>
      <c r="O54" s="23" t="s">
        <v>78</v>
      </c>
      <c r="P54" s="23" t="s">
        <v>119</v>
      </c>
      <c r="Q54" s="23" t="s">
        <v>129</v>
      </c>
      <c r="R54" s="24"/>
      <c r="S54" s="22" t="str">
        <f>"560,0"</f>
        <v>560,0</v>
      </c>
      <c r="T54" s="23" t="str">
        <f>"316,6800"</f>
        <v>316,6800</v>
      </c>
      <c r="U54" s="22"/>
    </row>
    <row r="55" spans="1:21">
      <c r="A55" s="25" t="s">
        <v>826</v>
      </c>
      <c r="B55" s="26" t="s">
        <v>827</v>
      </c>
      <c r="C55" s="26" t="s">
        <v>405</v>
      </c>
      <c r="D55" s="26" t="str">
        <f>"0,5625"</f>
        <v>0,5625</v>
      </c>
      <c r="E55" s="25" t="s">
        <v>18</v>
      </c>
      <c r="F55" s="25" t="s">
        <v>95</v>
      </c>
      <c r="G55" s="26" t="s">
        <v>85</v>
      </c>
      <c r="H55" s="26" t="s">
        <v>143</v>
      </c>
      <c r="I55" s="27" t="s">
        <v>141</v>
      </c>
      <c r="J55" s="27"/>
      <c r="K55" s="26" t="s">
        <v>136</v>
      </c>
      <c r="L55" s="27" t="s">
        <v>124</v>
      </c>
      <c r="M55" s="26" t="s">
        <v>250</v>
      </c>
      <c r="N55" s="27"/>
      <c r="O55" s="26" t="s">
        <v>143</v>
      </c>
      <c r="P55" s="26" t="s">
        <v>141</v>
      </c>
      <c r="Q55" s="27" t="s">
        <v>548</v>
      </c>
      <c r="R55" s="27"/>
      <c r="S55" s="25" t="str">
        <f>"632,5"</f>
        <v>632,5</v>
      </c>
      <c r="T55" s="26" t="str">
        <f>"355,7813"</f>
        <v>355,7813</v>
      </c>
      <c r="U55" s="25"/>
    </row>
    <row r="56" spans="1:21">
      <c r="A56" s="29" t="s">
        <v>829</v>
      </c>
      <c r="B56" s="28" t="s">
        <v>830</v>
      </c>
      <c r="C56" s="28" t="s">
        <v>831</v>
      </c>
      <c r="D56" s="28" t="str">
        <f>"0,5765"</f>
        <v>0,5765</v>
      </c>
      <c r="E56" s="29" t="s">
        <v>18</v>
      </c>
      <c r="F56" s="29" t="s">
        <v>95</v>
      </c>
      <c r="G56" s="28" t="s">
        <v>149</v>
      </c>
      <c r="H56" s="28" t="s">
        <v>119</v>
      </c>
      <c r="I56" s="28" t="s">
        <v>150</v>
      </c>
      <c r="J56" s="30"/>
      <c r="K56" s="28" t="s">
        <v>63</v>
      </c>
      <c r="L56" s="28" t="s">
        <v>125</v>
      </c>
      <c r="M56" s="28" t="s">
        <v>33</v>
      </c>
      <c r="N56" s="30"/>
      <c r="O56" s="28" t="s">
        <v>119</v>
      </c>
      <c r="P56" s="28" t="s">
        <v>150</v>
      </c>
      <c r="Q56" s="28" t="s">
        <v>85</v>
      </c>
      <c r="R56" s="30"/>
      <c r="S56" s="29" t="str">
        <f>"560,0"</f>
        <v>560,0</v>
      </c>
      <c r="T56" s="28" t="str">
        <f>"344,7931"</f>
        <v>344,7931</v>
      </c>
      <c r="U56" s="29"/>
    </row>
    <row r="58" spans="1:21" ht="15">
      <c r="E58" s="12" t="s">
        <v>64</v>
      </c>
    </row>
    <row r="59" spans="1:21" ht="15">
      <c r="E59" s="12" t="s">
        <v>65</v>
      </c>
    </row>
    <row r="60" spans="1:21" ht="15">
      <c r="E60" s="12" t="s">
        <v>66</v>
      </c>
    </row>
    <row r="61" spans="1:21">
      <c r="E61" s="4" t="s">
        <v>67</v>
      </c>
    </row>
    <row r="62" spans="1:21">
      <c r="E62" s="4" t="s">
        <v>68</v>
      </c>
    </row>
    <row r="63" spans="1:21">
      <c r="E63" s="4" t="s">
        <v>69</v>
      </c>
    </row>
    <row r="66" spans="1:5" ht="18">
      <c r="A66" s="13" t="s">
        <v>70</v>
      </c>
      <c r="B66" s="14"/>
    </row>
    <row r="67" spans="1:5" ht="15">
      <c r="A67" s="15" t="s">
        <v>71</v>
      </c>
      <c r="B67" s="16"/>
    </row>
    <row r="68" spans="1:5" ht="14.25">
      <c r="A68" s="18"/>
      <c r="B68" s="19" t="s">
        <v>72</v>
      </c>
    </row>
    <row r="69" spans="1:5" ht="15">
      <c r="A69" s="20" t="s">
        <v>0</v>
      </c>
      <c r="B69" s="20" t="s">
        <v>73</v>
      </c>
      <c r="C69" s="20" t="s">
        <v>74</v>
      </c>
      <c r="D69" s="20" t="s">
        <v>75</v>
      </c>
      <c r="E69" s="20" t="s">
        <v>11</v>
      </c>
    </row>
    <row r="70" spans="1:5">
      <c r="A70" s="17" t="s">
        <v>747</v>
      </c>
      <c r="B70" s="5" t="s">
        <v>76</v>
      </c>
      <c r="C70" s="5" t="s">
        <v>81</v>
      </c>
      <c r="D70" s="5" t="s">
        <v>355</v>
      </c>
      <c r="E70" s="21" t="s">
        <v>832</v>
      </c>
    </row>
    <row r="72" spans="1:5" ht="14.25">
      <c r="A72" s="18"/>
      <c r="B72" s="19" t="s">
        <v>80</v>
      </c>
    </row>
    <row r="73" spans="1:5" ht="15">
      <c r="A73" s="20" t="s">
        <v>0</v>
      </c>
      <c r="B73" s="20" t="s">
        <v>73</v>
      </c>
      <c r="C73" s="20" t="s">
        <v>74</v>
      </c>
      <c r="D73" s="20" t="s">
        <v>75</v>
      </c>
      <c r="E73" s="20" t="s">
        <v>11</v>
      </c>
    </row>
    <row r="74" spans="1:5">
      <c r="A74" s="17" t="s">
        <v>283</v>
      </c>
      <c r="B74" s="5" t="s">
        <v>80</v>
      </c>
      <c r="C74" s="5" t="s">
        <v>84</v>
      </c>
      <c r="D74" s="5" t="s">
        <v>833</v>
      </c>
      <c r="E74" s="21" t="s">
        <v>834</v>
      </c>
    </row>
    <row r="75" spans="1:5">
      <c r="A75" s="17" t="s">
        <v>739</v>
      </c>
      <c r="B75" s="5" t="s">
        <v>80</v>
      </c>
      <c r="C75" s="5" t="s">
        <v>457</v>
      </c>
      <c r="D75" s="5" t="s">
        <v>835</v>
      </c>
      <c r="E75" s="21" t="s">
        <v>836</v>
      </c>
    </row>
    <row r="76" spans="1:5">
      <c r="A76" s="17" t="s">
        <v>729</v>
      </c>
      <c r="B76" s="5" t="s">
        <v>80</v>
      </c>
      <c r="C76" s="5" t="s">
        <v>837</v>
      </c>
      <c r="D76" s="5" t="s">
        <v>838</v>
      </c>
      <c r="E76" s="21" t="s">
        <v>839</v>
      </c>
    </row>
    <row r="77" spans="1:5">
      <c r="A77" s="17" t="s">
        <v>755</v>
      </c>
      <c r="B77" s="5" t="s">
        <v>80</v>
      </c>
      <c r="C77" s="5" t="s">
        <v>77</v>
      </c>
      <c r="D77" s="5" t="s">
        <v>168</v>
      </c>
      <c r="E77" s="21" t="s">
        <v>840</v>
      </c>
    </row>
    <row r="78" spans="1:5">
      <c r="A78" s="17" t="s">
        <v>763</v>
      </c>
      <c r="B78" s="5" t="s">
        <v>80</v>
      </c>
      <c r="C78" s="5" t="s">
        <v>455</v>
      </c>
      <c r="D78" s="5" t="s">
        <v>841</v>
      </c>
      <c r="E78" s="21" t="s">
        <v>842</v>
      </c>
    </row>
    <row r="79" spans="1:5">
      <c r="A79" s="17" t="s">
        <v>734</v>
      </c>
      <c r="B79" s="5" t="s">
        <v>80</v>
      </c>
      <c r="C79" s="5" t="s">
        <v>837</v>
      </c>
      <c r="D79" s="5" t="s">
        <v>401</v>
      </c>
      <c r="E79" s="21" t="s">
        <v>843</v>
      </c>
    </row>
    <row r="80" spans="1:5">
      <c r="A80" s="17" t="s">
        <v>768</v>
      </c>
      <c r="B80" s="5" t="s">
        <v>80</v>
      </c>
      <c r="C80" s="5" t="s">
        <v>844</v>
      </c>
      <c r="D80" s="5" t="s">
        <v>197</v>
      </c>
      <c r="E80" s="21" t="s">
        <v>845</v>
      </c>
    </row>
    <row r="82" spans="1:5" ht="14.25">
      <c r="A82" s="18"/>
      <c r="B82" s="19" t="s">
        <v>206</v>
      </c>
    </row>
    <row r="83" spans="1:5" ht="15">
      <c r="A83" s="20" t="s">
        <v>0</v>
      </c>
      <c r="B83" s="20" t="s">
        <v>73</v>
      </c>
      <c r="C83" s="20" t="s">
        <v>74</v>
      </c>
      <c r="D83" s="20" t="s">
        <v>75</v>
      </c>
      <c r="E83" s="20" t="s">
        <v>11</v>
      </c>
    </row>
    <row r="84" spans="1:5">
      <c r="A84" s="17" t="s">
        <v>759</v>
      </c>
      <c r="B84" s="5" t="s">
        <v>210</v>
      </c>
      <c r="C84" s="5" t="s">
        <v>77</v>
      </c>
      <c r="D84" s="5" t="s">
        <v>838</v>
      </c>
      <c r="E84" s="21" t="s">
        <v>846</v>
      </c>
    </row>
    <row r="85" spans="1:5">
      <c r="A85" s="17" t="s">
        <v>743</v>
      </c>
      <c r="B85" s="5" t="s">
        <v>210</v>
      </c>
      <c r="C85" s="5" t="s">
        <v>457</v>
      </c>
      <c r="D85" s="5" t="s">
        <v>192</v>
      </c>
      <c r="E85" s="21" t="s">
        <v>847</v>
      </c>
    </row>
    <row r="88" spans="1:5" ht="15">
      <c r="A88" s="15" t="s">
        <v>213</v>
      </c>
      <c r="B88" s="16"/>
    </row>
    <row r="89" spans="1:5" ht="14.25">
      <c r="A89" s="18"/>
      <c r="B89" s="19" t="s">
        <v>214</v>
      </c>
    </row>
    <row r="90" spans="1:5" ht="15">
      <c r="A90" s="20" t="s">
        <v>0</v>
      </c>
      <c r="B90" s="20" t="s">
        <v>73</v>
      </c>
      <c r="C90" s="20" t="s">
        <v>74</v>
      </c>
      <c r="D90" s="20" t="s">
        <v>75</v>
      </c>
      <c r="E90" s="20" t="s">
        <v>11</v>
      </c>
    </row>
    <row r="91" spans="1:5">
      <c r="A91" s="17" t="s">
        <v>802</v>
      </c>
      <c r="B91" s="5" t="s">
        <v>701</v>
      </c>
      <c r="C91" s="5" t="s">
        <v>229</v>
      </c>
      <c r="D91" s="5" t="s">
        <v>848</v>
      </c>
      <c r="E91" s="21" t="s">
        <v>849</v>
      </c>
    </row>
    <row r="92" spans="1:5">
      <c r="A92" s="17" t="s">
        <v>785</v>
      </c>
      <c r="B92" s="5" t="s">
        <v>215</v>
      </c>
      <c r="C92" s="5" t="s">
        <v>455</v>
      </c>
      <c r="D92" s="5" t="s">
        <v>850</v>
      </c>
      <c r="E92" s="21" t="s">
        <v>851</v>
      </c>
    </row>
    <row r="93" spans="1:5">
      <c r="A93" s="17" t="s">
        <v>772</v>
      </c>
      <c r="B93" s="5" t="s">
        <v>215</v>
      </c>
      <c r="C93" s="5" t="s">
        <v>77</v>
      </c>
      <c r="D93" s="5" t="s">
        <v>852</v>
      </c>
      <c r="E93" s="21" t="s">
        <v>853</v>
      </c>
    </row>
    <row r="95" spans="1:5" ht="14.25">
      <c r="A95" s="18"/>
      <c r="B95" s="19" t="s">
        <v>72</v>
      </c>
    </row>
    <row r="96" spans="1:5" ht="15">
      <c r="A96" s="20" t="s">
        <v>0</v>
      </c>
      <c r="B96" s="20" t="s">
        <v>73</v>
      </c>
      <c r="C96" s="20" t="s">
        <v>74</v>
      </c>
      <c r="D96" s="20" t="s">
        <v>75</v>
      </c>
      <c r="E96" s="20" t="s">
        <v>11</v>
      </c>
    </row>
    <row r="97" spans="1:5">
      <c r="A97" s="17" t="s">
        <v>806</v>
      </c>
      <c r="B97" s="5" t="s">
        <v>76</v>
      </c>
      <c r="C97" s="5" t="s">
        <v>229</v>
      </c>
      <c r="D97" s="5" t="s">
        <v>854</v>
      </c>
      <c r="E97" s="21" t="s">
        <v>855</v>
      </c>
    </row>
    <row r="98" spans="1:5">
      <c r="A98" s="17" t="s">
        <v>822</v>
      </c>
      <c r="B98" s="5" t="s">
        <v>76</v>
      </c>
      <c r="C98" s="5" t="s">
        <v>222</v>
      </c>
      <c r="D98" s="5" t="s">
        <v>856</v>
      </c>
      <c r="E98" s="21" t="s">
        <v>857</v>
      </c>
    </row>
    <row r="100" spans="1:5" ht="14.25">
      <c r="A100" s="18"/>
      <c r="B100" s="19" t="s">
        <v>80</v>
      </c>
    </row>
    <row r="101" spans="1:5" ht="15">
      <c r="A101" s="20" t="s">
        <v>0</v>
      </c>
      <c r="B101" s="20" t="s">
        <v>73</v>
      </c>
      <c r="C101" s="20" t="s">
        <v>74</v>
      </c>
      <c r="D101" s="20" t="s">
        <v>75</v>
      </c>
      <c r="E101" s="20" t="s">
        <v>11</v>
      </c>
    </row>
    <row r="102" spans="1:5">
      <c r="A102" s="17" t="s">
        <v>782</v>
      </c>
      <c r="B102" s="5" t="s">
        <v>80</v>
      </c>
      <c r="C102" s="5" t="s">
        <v>87</v>
      </c>
      <c r="D102" s="5" t="s">
        <v>854</v>
      </c>
      <c r="E102" s="21" t="s">
        <v>858</v>
      </c>
    </row>
    <row r="103" spans="1:5">
      <c r="A103" s="17" t="s">
        <v>813</v>
      </c>
      <c r="B103" s="5" t="s">
        <v>80</v>
      </c>
      <c r="C103" s="5" t="s">
        <v>217</v>
      </c>
      <c r="D103" s="5" t="s">
        <v>859</v>
      </c>
      <c r="E103" s="21" t="s">
        <v>860</v>
      </c>
    </row>
    <row r="104" spans="1:5">
      <c r="A104" s="17" t="s">
        <v>806</v>
      </c>
      <c r="B104" s="5" t="s">
        <v>80</v>
      </c>
      <c r="C104" s="5" t="s">
        <v>229</v>
      </c>
      <c r="D104" s="5" t="s">
        <v>854</v>
      </c>
      <c r="E104" s="21" t="s">
        <v>855</v>
      </c>
    </row>
    <row r="105" spans="1:5">
      <c r="A105" s="17" t="s">
        <v>792</v>
      </c>
      <c r="B105" s="5" t="s">
        <v>80</v>
      </c>
      <c r="C105" s="5" t="s">
        <v>455</v>
      </c>
      <c r="D105" s="5" t="s">
        <v>223</v>
      </c>
      <c r="E105" s="21" t="s">
        <v>861</v>
      </c>
    </row>
    <row r="106" spans="1:5">
      <c r="A106" s="17" t="s">
        <v>825</v>
      </c>
      <c r="B106" s="5" t="s">
        <v>80</v>
      </c>
      <c r="C106" s="5" t="s">
        <v>222</v>
      </c>
      <c r="D106" s="5" t="s">
        <v>862</v>
      </c>
      <c r="E106" s="21" t="s">
        <v>863</v>
      </c>
    </row>
    <row r="107" spans="1:5">
      <c r="A107" s="17" t="s">
        <v>777</v>
      </c>
      <c r="B107" s="5" t="s">
        <v>80</v>
      </c>
      <c r="C107" s="5" t="s">
        <v>77</v>
      </c>
      <c r="D107" s="5" t="s">
        <v>864</v>
      </c>
      <c r="E107" s="21" t="s">
        <v>865</v>
      </c>
    </row>
    <row r="109" spans="1:5" ht="14.25">
      <c r="A109" s="18"/>
      <c r="B109" s="19" t="s">
        <v>206</v>
      </c>
    </row>
    <row r="110" spans="1:5" ht="15">
      <c r="A110" s="20" t="s">
        <v>0</v>
      </c>
      <c r="B110" s="20" t="s">
        <v>73</v>
      </c>
      <c r="C110" s="20" t="s">
        <v>74</v>
      </c>
      <c r="D110" s="20" t="s">
        <v>75</v>
      </c>
      <c r="E110" s="20" t="s">
        <v>11</v>
      </c>
    </row>
    <row r="111" spans="1:5">
      <c r="A111" s="17" t="s">
        <v>828</v>
      </c>
      <c r="B111" s="5" t="s">
        <v>210</v>
      </c>
      <c r="C111" s="5" t="s">
        <v>222</v>
      </c>
      <c r="D111" s="5" t="s">
        <v>856</v>
      </c>
      <c r="E111" s="21" t="s">
        <v>866</v>
      </c>
    </row>
    <row r="112" spans="1:5">
      <c r="A112" s="17" t="s">
        <v>798</v>
      </c>
      <c r="B112" s="5" t="s">
        <v>210</v>
      </c>
      <c r="C112" s="5" t="s">
        <v>455</v>
      </c>
      <c r="D112" s="5" t="s">
        <v>867</v>
      </c>
      <c r="E112" s="21" t="s">
        <v>868</v>
      </c>
    </row>
    <row r="113" spans="1:5">
      <c r="A113" s="17" t="s">
        <v>818</v>
      </c>
      <c r="B113" s="5" t="s">
        <v>241</v>
      </c>
      <c r="C113" s="5" t="s">
        <v>217</v>
      </c>
      <c r="D113" s="5" t="s">
        <v>869</v>
      </c>
      <c r="E113" s="21" t="s">
        <v>870</v>
      </c>
    </row>
  </sheetData>
  <mergeCells count="26">
    <mergeCell ref="A37:T37"/>
    <mergeCell ref="A44:T44"/>
    <mergeCell ref="A49:T49"/>
    <mergeCell ref="A53:T53"/>
    <mergeCell ref="A16:T16"/>
    <mergeCell ref="A20:T20"/>
    <mergeCell ref="A24:T24"/>
    <mergeCell ref="A27:T27"/>
    <mergeCell ref="A30:T30"/>
    <mergeCell ref="A34:T34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01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>
      <c r="A1" s="33" t="s">
        <v>1700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2</v>
      </c>
      <c r="H3" s="43"/>
      <c r="I3" s="43"/>
      <c r="J3" s="46"/>
      <c r="K3" s="39" t="s">
        <v>3</v>
      </c>
      <c r="L3" s="43"/>
      <c r="M3" s="43"/>
      <c r="N3" s="46"/>
      <c r="O3" s="39" t="s">
        <v>4</v>
      </c>
      <c r="P3" s="43"/>
      <c r="Q3" s="43"/>
      <c r="R3" s="46"/>
      <c r="S3" s="48" t="s">
        <v>9</v>
      </c>
      <c r="T3" s="43" t="s">
        <v>6</v>
      </c>
      <c r="U3" s="46" t="s">
        <v>5</v>
      </c>
    </row>
    <row r="4" spans="1:21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9"/>
      <c r="T4" s="42"/>
      <c r="U4" s="50"/>
    </row>
    <row r="5" spans="1:21" s="5" customFormat="1" ht="15">
      <c r="A5" s="51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s="5" customFormat="1">
      <c r="A6" s="9" t="s">
        <v>583</v>
      </c>
      <c r="B6" s="10" t="s">
        <v>584</v>
      </c>
      <c r="C6" s="10" t="s">
        <v>585</v>
      </c>
      <c r="D6" s="10" t="str">
        <f>"1,1809"</f>
        <v>1,1809</v>
      </c>
      <c r="E6" s="9" t="s">
        <v>18</v>
      </c>
      <c r="F6" s="9" t="s">
        <v>586</v>
      </c>
      <c r="G6" s="10" t="s">
        <v>34</v>
      </c>
      <c r="H6" s="11" t="s">
        <v>52</v>
      </c>
      <c r="I6" s="10" t="s">
        <v>52</v>
      </c>
      <c r="J6" s="11"/>
      <c r="K6" s="11" t="s">
        <v>287</v>
      </c>
      <c r="L6" s="10" t="s">
        <v>287</v>
      </c>
      <c r="M6" s="11" t="s">
        <v>48</v>
      </c>
      <c r="N6" s="11"/>
      <c r="O6" s="10" t="s">
        <v>52</v>
      </c>
      <c r="P6" s="10" t="s">
        <v>24</v>
      </c>
      <c r="Q6" s="11" t="s">
        <v>53</v>
      </c>
      <c r="R6" s="11"/>
      <c r="S6" s="9" t="str">
        <f>"232,5"</f>
        <v>232,5</v>
      </c>
      <c r="T6" s="10" t="str">
        <f>"274,5592"</f>
        <v>274,5592</v>
      </c>
      <c r="U6" s="9"/>
    </row>
    <row r="7" spans="1:21" s="5" customFormat="1">
      <c r="A7" s="4"/>
      <c r="E7" s="4"/>
      <c r="F7" s="4"/>
      <c r="S7" s="4"/>
      <c r="U7" s="4"/>
    </row>
    <row r="8" spans="1:21" ht="15">
      <c r="A8" s="47" t="s">
        <v>288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>
      <c r="A9" s="22" t="s">
        <v>588</v>
      </c>
      <c r="B9" s="23" t="s">
        <v>589</v>
      </c>
      <c r="C9" s="23" t="s">
        <v>590</v>
      </c>
      <c r="D9" s="23" t="str">
        <f>"1,0716"</f>
        <v>1,0716</v>
      </c>
      <c r="E9" s="22" t="s">
        <v>18</v>
      </c>
      <c r="F9" s="22" t="s">
        <v>60</v>
      </c>
      <c r="G9" s="23" t="s">
        <v>52</v>
      </c>
      <c r="H9" s="23" t="s">
        <v>63</v>
      </c>
      <c r="I9" s="24"/>
      <c r="J9" s="24"/>
      <c r="K9" s="23" t="s">
        <v>591</v>
      </c>
      <c r="L9" s="24" t="s">
        <v>294</v>
      </c>
      <c r="M9" s="24" t="s">
        <v>294</v>
      </c>
      <c r="N9" s="24"/>
      <c r="O9" s="23" t="s">
        <v>38</v>
      </c>
      <c r="P9" s="23" t="s">
        <v>178</v>
      </c>
      <c r="Q9" s="23" t="s">
        <v>416</v>
      </c>
      <c r="R9" s="24"/>
      <c r="S9" s="22" t="str">
        <f>"327,5"</f>
        <v>327,5</v>
      </c>
      <c r="T9" s="23" t="str">
        <f>"350,9490"</f>
        <v>350,9490</v>
      </c>
      <c r="U9" s="22"/>
    </row>
    <row r="10" spans="1:21">
      <c r="A10" s="29" t="s">
        <v>593</v>
      </c>
      <c r="B10" s="28" t="s">
        <v>594</v>
      </c>
      <c r="C10" s="28" t="s">
        <v>595</v>
      </c>
      <c r="D10" s="28" t="str">
        <f>"1,0780"</f>
        <v>1,0780</v>
      </c>
      <c r="E10" s="29" t="s">
        <v>18</v>
      </c>
      <c r="F10" s="29" t="s">
        <v>95</v>
      </c>
      <c r="G10" s="28" t="s">
        <v>62</v>
      </c>
      <c r="H10" s="30" t="s">
        <v>96</v>
      </c>
      <c r="I10" s="30" t="s">
        <v>21</v>
      </c>
      <c r="J10" s="30"/>
      <c r="K10" s="28" t="s">
        <v>23</v>
      </c>
      <c r="L10" s="28" t="s">
        <v>47</v>
      </c>
      <c r="M10" s="28" t="s">
        <v>287</v>
      </c>
      <c r="N10" s="30"/>
      <c r="O10" s="28" t="s">
        <v>103</v>
      </c>
      <c r="P10" s="28" t="s">
        <v>104</v>
      </c>
      <c r="Q10" s="28" t="s">
        <v>52</v>
      </c>
      <c r="R10" s="30"/>
      <c r="S10" s="29" t="str">
        <f>"202,5"</f>
        <v>202,5</v>
      </c>
      <c r="T10" s="28" t="str">
        <f>"218,2950"</f>
        <v>218,2950</v>
      </c>
      <c r="U10" s="29"/>
    </row>
    <row r="12" spans="1:21" ht="15">
      <c r="A12" s="47" t="s">
        <v>27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</row>
    <row r="13" spans="1:21">
      <c r="A13" s="9" t="s">
        <v>597</v>
      </c>
      <c r="B13" s="10" t="s">
        <v>598</v>
      </c>
      <c r="C13" s="10" t="s">
        <v>599</v>
      </c>
      <c r="D13" s="10" t="str">
        <f>"1,0234"</f>
        <v>1,0234</v>
      </c>
      <c r="E13" s="9" t="s">
        <v>18</v>
      </c>
      <c r="F13" s="9" t="s">
        <v>46</v>
      </c>
      <c r="G13" s="10" t="s">
        <v>96</v>
      </c>
      <c r="H13" s="10" t="s">
        <v>21</v>
      </c>
      <c r="I13" s="10" t="s">
        <v>34</v>
      </c>
      <c r="J13" s="11"/>
      <c r="K13" s="10" t="s">
        <v>591</v>
      </c>
      <c r="L13" s="10" t="s">
        <v>293</v>
      </c>
      <c r="M13" s="10" t="s">
        <v>61</v>
      </c>
      <c r="N13" s="11"/>
      <c r="O13" s="10" t="s">
        <v>26</v>
      </c>
      <c r="P13" s="10" t="s">
        <v>126</v>
      </c>
      <c r="Q13" s="10" t="s">
        <v>32</v>
      </c>
      <c r="R13" s="11"/>
      <c r="S13" s="9" t="str">
        <f>"270,0"</f>
        <v>270,0</v>
      </c>
      <c r="T13" s="10" t="str">
        <f>"288,1997"</f>
        <v>288,1997</v>
      </c>
      <c r="U13" s="9"/>
    </row>
    <row r="15" spans="1:21" ht="15">
      <c r="A15" s="47" t="s">
        <v>41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1">
      <c r="A16" s="22" t="s">
        <v>601</v>
      </c>
      <c r="B16" s="23" t="s">
        <v>602</v>
      </c>
      <c r="C16" s="23" t="s">
        <v>603</v>
      </c>
      <c r="D16" s="23" t="str">
        <f>"0,9123"</f>
        <v>0,9123</v>
      </c>
      <c r="E16" s="22" t="s">
        <v>18</v>
      </c>
      <c r="F16" s="22" t="s">
        <v>95</v>
      </c>
      <c r="G16" s="23" t="s">
        <v>33</v>
      </c>
      <c r="H16" s="23" t="s">
        <v>142</v>
      </c>
      <c r="I16" s="23" t="s">
        <v>37</v>
      </c>
      <c r="J16" s="24"/>
      <c r="K16" s="23" t="s">
        <v>20</v>
      </c>
      <c r="L16" s="23" t="s">
        <v>104</v>
      </c>
      <c r="M16" s="23" t="s">
        <v>34</v>
      </c>
      <c r="N16" s="24"/>
      <c r="O16" s="23" t="s">
        <v>604</v>
      </c>
      <c r="P16" s="23" t="s">
        <v>250</v>
      </c>
      <c r="Q16" s="23" t="s">
        <v>605</v>
      </c>
      <c r="R16" s="24"/>
      <c r="S16" s="22" t="str">
        <f>"395,0"</f>
        <v>395,0</v>
      </c>
      <c r="T16" s="23" t="str">
        <f>"360,3782"</f>
        <v>360,3782</v>
      </c>
      <c r="U16" s="22"/>
    </row>
    <row r="17" spans="1:21">
      <c r="A17" s="25" t="s">
        <v>607</v>
      </c>
      <c r="B17" s="26" t="s">
        <v>608</v>
      </c>
      <c r="C17" s="26" t="s">
        <v>609</v>
      </c>
      <c r="D17" s="26" t="str">
        <f>"0,9222"</f>
        <v>0,9222</v>
      </c>
      <c r="E17" s="25" t="s">
        <v>18</v>
      </c>
      <c r="F17" s="25" t="s">
        <v>95</v>
      </c>
      <c r="G17" s="26" t="s">
        <v>52</v>
      </c>
      <c r="H17" s="26" t="s">
        <v>24</v>
      </c>
      <c r="I17" s="27" t="s">
        <v>63</v>
      </c>
      <c r="J17" s="27"/>
      <c r="K17" s="26" t="s">
        <v>287</v>
      </c>
      <c r="L17" s="26" t="s">
        <v>48</v>
      </c>
      <c r="M17" s="27" t="s">
        <v>49</v>
      </c>
      <c r="N17" s="27"/>
      <c r="O17" s="26" t="s">
        <v>24</v>
      </c>
      <c r="P17" s="26" t="s">
        <v>63</v>
      </c>
      <c r="Q17" s="26" t="s">
        <v>25</v>
      </c>
      <c r="R17" s="27"/>
      <c r="S17" s="25" t="str">
        <f>"250,0"</f>
        <v>250,0</v>
      </c>
      <c r="T17" s="26" t="str">
        <f>"230,5500"</f>
        <v>230,5500</v>
      </c>
      <c r="U17" s="25"/>
    </row>
    <row r="18" spans="1:21">
      <c r="A18" s="29" t="s">
        <v>611</v>
      </c>
      <c r="B18" s="28" t="s">
        <v>612</v>
      </c>
      <c r="C18" s="28" t="s">
        <v>613</v>
      </c>
      <c r="D18" s="28" t="str">
        <f>"0,9499"</f>
        <v>0,9499</v>
      </c>
      <c r="E18" s="29" t="s">
        <v>18</v>
      </c>
      <c r="F18" s="29" t="s">
        <v>95</v>
      </c>
      <c r="G18" s="28" t="s">
        <v>61</v>
      </c>
      <c r="H18" s="28" t="s">
        <v>103</v>
      </c>
      <c r="I18" s="28" t="s">
        <v>96</v>
      </c>
      <c r="J18" s="30"/>
      <c r="K18" s="30" t="s">
        <v>22</v>
      </c>
      <c r="L18" s="30" t="s">
        <v>111</v>
      </c>
      <c r="M18" s="28" t="s">
        <v>47</v>
      </c>
      <c r="N18" s="30"/>
      <c r="O18" s="28" t="s">
        <v>21</v>
      </c>
      <c r="P18" s="28" t="s">
        <v>52</v>
      </c>
      <c r="Q18" s="28" t="s">
        <v>63</v>
      </c>
      <c r="R18" s="30"/>
      <c r="S18" s="29" t="str">
        <f>"220,0"</f>
        <v>220,0</v>
      </c>
      <c r="T18" s="28" t="str">
        <f>"208,9670"</f>
        <v>208,9670</v>
      </c>
      <c r="U18" s="29"/>
    </row>
    <row r="20" spans="1:21" ht="15">
      <c r="A20" s="47" t="s">
        <v>41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1">
      <c r="A21" s="9" t="s">
        <v>615</v>
      </c>
      <c r="B21" s="10" t="s">
        <v>616</v>
      </c>
      <c r="C21" s="10" t="s">
        <v>617</v>
      </c>
      <c r="D21" s="10" t="str">
        <f>"0,7513"</f>
        <v>0,7513</v>
      </c>
      <c r="E21" s="9" t="s">
        <v>59</v>
      </c>
      <c r="F21" s="9" t="s">
        <v>60</v>
      </c>
      <c r="G21" s="10" t="s">
        <v>63</v>
      </c>
      <c r="H21" s="10" t="s">
        <v>125</v>
      </c>
      <c r="I21" s="10" t="s">
        <v>126</v>
      </c>
      <c r="J21" s="11"/>
      <c r="K21" s="10" t="s">
        <v>96</v>
      </c>
      <c r="L21" s="10" t="s">
        <v>21</v>
      </c>
      <c r="M21" s="11" t="s">
        <v>34</v>
      </c>
      <c r="N21" s="11"/>
      <c r="O21" s="10" t="s">
        <v>178</v>
      </c>
      <c r="P21" s="10" t="s">
        <v>78</v>
      </c>
      <c r="Q21" s="11" t="s">
        <v>156</v>
      </c>
      <c r="R21" s="11"/>
      <c r="S21" s="9" t="str">
        <f>"385,0"</f>
        <v>385,0</v>
      </c>
      <c r="T21" s="10" t="str">
        <f>"289,2313"</f>
        <v>289,2313</v>
      </c>
      <c r="U21" s="9"/>
    </row>
    <row r="23" spans="1:21" ht="15">
      <c r="A23" s="47" t="s">
        <v>54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1">
      <c r="A24" s="22" t="s">
        <v>619</v>
      </c>
      <c r="B24" s="23" t="s">
        <v>620</v>
      </c>
      <c r="C24" s="23" t="s">
        <v>621</v>
      </c>
      <c r="D24" s="23" t="str">
        <f>"0,7181"</f>
        <v>0,7181</v>
      </c>
      <c r="E24" s="22" t="s">
        <v>59</v>
      </c>
      <c r="F24" s="22" t="s">
        <v>60</v>
      </c>
      <c r="G24" s="24" t="s">
        <v>63</v>
      </c>
      <c r="H24" s="23" t="s">
        <v>25</v>
      </c>
      <c r="I24" s="23" t="s">
        <v>26</v>
      </c>
      <c r="J24" s="24"/>
      <c r="K24" s="23" t="s">
        <v>34</v>
      </c>
      <c r="L24" s="24" t="s">
        <v>52</v>
      </c>
      <c r="M24" s="23" t="s">
        <v>52</v>
      </c>
      <c r="N24" s="24"/>
      <c r="O24" s="24" t="s">
        <v>179</v>
      </c>
      <c r="P24" s="23" t="s">
        <v>179</v>
      </c>
      <c r="Q24" s="24" t="s">
        <v>263</v>
      </c>
      <c r="R24" s="24"/>
      <c r="S24" s="22" t="str">
        <f>"375,0"</f>
        <v>375,0</v>
      </c>
      <c r="T24" s="23" t="str">
        <f>"269,2688"</f>
        <v>269,2688</v>
      </c>
      <c r="U24" s="22"/>
    </row>
    <row r="25" spans="1:21">
      <c r="A25" s="25" t="s">
        <v>623</v>
      </c>
      <c r="B25" s="26" t="s">
        <v>616</v>
      </c>
      <c r="C25" s="26" t="s">
        <v>624</v>
      </c>
      <c r="D25" s="26" t="str">
        <f>"0,6990"</f>
        <v>0,6990</v>
      </c>
      <c r="E25" s="25" t="s">
        <v>18</v>
      </c>
      <c r="F25" s="25" t="s">
        <v>60</v>
      </c>
      <c r="G25" s="26" t="s">
        <v>142</v>
      </c>
      <c r="H25" s="26" t="s">
        <v>249</v>
      </c>
      <c r="I25" s="27" t="s">
        <v>169</v>
      </c>
      <c r="J25" s="27"/>
      <c r="K25" s="26" t="s">
        <v>52</v>
      </c>
      <c r="L25" s="26" t="s">
        <v>112</v>
      </c>
      <c r="M25" s="26" t="s">
        <v>24</v>
      </c>
      <c r="N25" s="27"/>
      <c r="O25" s="27" t="s">
        <v>156</v>
      </c>
      <c r="P25" s="27" t="s">
        <v>156</v>
      </c>
      <c r="Q25" s="27" t="s">
        <v>156</v>
      </c>
      <c r="R25" s="27"/>
      <c r="S25" s="25" t="str">
        <f>"0.00"</f>
        <v>0.00</v>
      </c>
      <c r="T25" s="26" t="str">
        <f>"0,0000"</f>
        <v>0,0000</v>
      </c>
      <c r="U25" s="25"/>
    </row>
    <row r="26" spans="1:21">
      <c r="A26" s="29" t="s">
        <v>626</v>
      </c>
      <c r="B26" s="28" t="s">
        <v>627</v>
      </c>
      <c r="C26" s="28" t="s">
        <v>628</v>
      </c>
      <c r="D26" s="28" t="str">
        <f>"0,6955"</f>
        <v>0,6955</v>
      </c>
      <c r="E26" s="29" t="s">
        <v>18</v>
      </c>
      <c r="F26" s="29" t="s">
        <v>95</v>
      </c>
      <c r="G26" s="28" t="s">
        <v>179</v>
      </c>
      <c r="H26" s="30" t="s">
        <v>78</v>
      </c>
      <c r="I26" s="28" t="s">
        <v>78</v>
      </c>
      <c r="J26" s="30"/>
      <c r="K26" s="28" t="s">
        <v>32</v>
      </c>
      <c r="L26" s="28" t="s">
        <v>199</v>
      </c>
      <c r="M26" s="30" t="s">
        <v>142</v>
      </c>
      <c r="N26" s="30"/>
      <c r="O26" s="28" t="s">
        <v>128</v>
      </c>
      <c r="P26" s="28" t="s">
        <v>129</v>
      </c>
      <c r="Q26" s="28" t="s">
        <v>85</v>
      </c>
      <c r="R26" s="30"/>
      <c r="S26" s="29" t="str">
        <f>"537,5"</f>
        <v>537,5</v>
      </c>
      <c r="T26" s="28" t="str">
        <f>"373,8044"</f>
        <v>373,8044</v>
      </c>
      <c r="U26" s="29"/>
    </row>
    <row r="28" spans="1:21" ht="15">
      <c r="A28" s="47" t="s">
        <v>305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1">
      <c r="A29" s="22" t="s">
        <v>630</v>
      </c>
      <c r="B29" s="23" t="s">
        <v>631</v>
      </c>
      <c r="C29" s="23" t="s">
        <v>632</v>
      </c>
      <c r="D29" s="23" t="str">
        <f>"0,6652"</f>
        <v>0,6652</v>
      </c>
      <c r="E29" s="22" t="s">
        <v>59</v>
      </c>
      <c r="F29" s="22" t="s">
        <v>60</v>
      </c>
      <c r="G29" s="23" t="s">
        <v>249</v>
      </c>
      <c r="H29" s="24" t="s">
        <v>169</v>
      </c>
      <c r="I29" s="23" t="s">
        <v>169</v>
      </c>
      <c r="J29" s="24"/>
      <c r="K29" s="23" t="s">
        <v>63</v>
      </c>
      <c r="L29" s="23" t="s">
        <v>25</v>
      </c>
      <c r="M29" s="23" t="s">
        <v>304</v>
      </c>
      <c r="N29" s="24"/>
      <c r="O29" s="24" t="s">
        <v>149</v>
      </c>
      <c r="P29" s="24" t="s">
        <v>149</v>
      </c>
      <c r="Q29" s="24" t="s">
        <v>149</v>
      </c>
      <c r="R29" s="24"/>
      <c r="S29" s="22" t="str">
        <f>"0.00"</f>
        <v>0.00</v>
      </c>
      <c r="T29" s="23" t="str">
        <f>"0,0000"</f>
        <v>0,0000</v>
      </c>
      <c r="U29" s="22"/>
    </row>
    <row r="30" spans="1:21">
      <c r="A30" s="25" t="s">
        <v>634</v>
      </c>
      <c r="B30" s="26" t="s">
        <v>635</v>
      </c>
      <c r="C30" s="26" t="s">
        <v>636</v>
      </c>
      <c r="D30" s="26" t="str">
        <f>"0,6471"</f>
        <v>0,6471</v>
      </c>
      <c r="E30" s="25" t="s">
        <v>18</v>
      </c>
      <c r="F30" s="25" t="s">
        <v>303</v>
      </c>
      <c r="G30" s="26" t="s">
        <v>249</v>
      </c>
      <c r="H30" s="26" t="s">
        <v>124</v>
      </c>
      <c r="I30" s="26" t="s">
        <v>179</v>
      </c>
      <c r="J30" s="27"/>
      <c r="K30" s="27" t="s">
        <v>32</v>
      </c>
      <c r="L30" s="26" t="s">
        <v>199</v>
      </c>
      <c r="M30" s="26" t="s">
        <v>249</v>
      </c>
      <c r="N30" s="27"/>
      <c r="O30" s="26" t="s">
        <v>118</v>
      </c>
      <c r="P30" s="26" t="s">
        <v>253</v>
      </c>
      <c r="Q30" s="26" t="s">
        <v>119</v>
      </c>
      <c r="R30" s="27"/>
      <c r="S30" s="25" t="str">
        <f>"515,0"</f>
        <v>515,0</v>
      </c>
      <c r="T30" s="26" t="str">
        <f>"333,2822"</f>
        <v>333,2822</v>
      </c>
      <c r="U30" s="25"/>
    </row>
    <row r="31" spans="1:21">
      <c r="A31" s="25" t="s">
        <v>638</v>
      </c>
      <c r="B31" s="26" t="s">
        <v>639</v>
      </c>
      <c r="C31" s="26" t="s">
        <v>316</v>
      </c>
      <c r="D31" s="26" t="str">
        <f>"0,6567"</f>
        <v>0,6567</v>
      </c>
      <c r="E31" s="25" t="s">
        <v>18</v>
      </c>
      <c r="F31" s="25" t="s">
        <v>640</v>
      </c>
      <c r="G31" s="26" t="s">
        <v>124</v>
      </c>
      <c r="H31" s="26" t="s">
        <v>117</v>
      </c>
      <c r="I31" s="26" t="s">
        <v>179</v>
      </c>
      <c r="J31" s="27"/>
      <c r="K31" s="26" t="s">
        <v>63</v>
      </c>
      <c r="L31" s="26" t="s">
        <v>304</v>
      </c>
      <c r="M31" s="26" t="s">
        <v>26</v>
      </c>
      <c r="N31" s="27"/>
      <c r="O31" s="26" t="s">
        <v>128</v>
      </c>
      <c r="P31" s="26" t="s">
        <v>208</v>
      </c>
      <c r="Q31" s="26" t="s">
        <v>85</v>
      </c>
      <c r="R31" s="27"/>
      <c r="S31" s="25" t="str">
        <f>"505,0"</f>
        <v>505,0</v>
      </c>
      <c r="T31" s="26" t="str">
        <f>"331,6335"</f>
        <v>331,6335</v>
      </c>
      <c r="U31" s="25"/>
    </row>
    <row r="32" spans="1:21">
      <c r="A32" s="25" t="s">
        <v>642</v>
      </c>
      <c r="B32" s="26" t="s">
        <v>643</v>
      </c>
      <c r="C32" s="26" t="s">
        <v>636</v>
      </c>
      <c r="D32" s="26" t="str">
        <f>"0,6471"</f>
        <v>0,6471</v>
      </c>
      <c r="E32" s="25" t="s">
        <v>18</v>
      </c>
      <c r="F32" s="25" t="s">
        <v>95</v>
      </c>
      <c r="G32" s="26" t="s">
        <v>249</v>
      </c>
      <c r="H32" s="26" t="s">
        <v>136</v>
      </c>
      <c r="I32" s="26" t="s">
        <v>124</v>
      </c>
      <c r="J32" s="27"/>
      <c r="K32" s="26" t="s">
        <v>52</v>
      </c>
      <c r="L32" s="26" t="s">
        <v>63</v>
      </c>
      <c r="M32" s="27" t="s">
        <v>25</v>
      </c>
      <c r="N32" s="27"/>
      <c r="O32" s="27" t="s">
        <v>178</v>
      </c>
      <c r="P32" s="26" t="s">
        <v>416</v>
      </c>
      <c r="Q32" s="26" t="s">
        <v>149</v>
      </c>
      <c r="R32" s="27"/>
      <c r="S32" s="25" t="str">
        <f>"450,0"</f>
        <v>450,0</v>
      </c>
      <c r="T32" s="26" t="str">
        <f>"291,2175"</f>
        <v>291,2175</v>
      </c>
      <c r="U32" s="25"/>
    </row>
    <row r="33" spans="1:21">
      <c r="A33" s="25" t="s">
        <v>645</v>
      </c>
      <c r="B33" s="26" t="s">
        <v>646</v>
      </c>
      <c r="C33" s="26" t="s">
        <v>541</v>
      </c>
      <c r="D33" s="26" t="str">
        <f>"0,6446"</f>
        <v>0,6446</v>
      </c>
      <c r="E33" s="25" t="s">
        <v>18</v>
      </c>
      <c r="F33" s="25" t="s">
        <v>95</v>
      </c>
      <c r="G33" s="26" t="s">
        <v>142</v>
      </c>
      <c r="H33" s="26" t="s">
        <v>169</v>
      </c>
      <c r="I33" s="26" t="s">
        <v>170</v>
      </c>
      <c r="J33" s="27"/>
      <c r="K33" s="26" t="s">
        <v>21</v>
      </c>
      <c r="L33" s="26" t="s">
        <v>112</v>
      </c>
      <c r="M33" s="27" t="s">
        <v>63</v>
      </c>
      <c r="N33" s="27"/>
      <c r="O33" s="26" t="s">
        <v>178</v>
      </c>
      <c r="P33" s="26" t="s">
        <v>118</v>
      </c>
      <c r="Q33" s="26" t="s">
        <v>149</v>
      </c>
      <c r="R33" s="27"/>
      <c r="S33" s="25" t="str">
        <f>"437,5"</f>
        <v>437,5</v>
      </c>
      <c r="T33" s="26" t="str">
        <f>"282,0125"</f>
        <v>282,0125</v>
      </c>
      <c r="U33" s="25"/>
    </row>
    <row r="34" spans="1:21">
      <c r="A34" s="25" t="s">
        <v>648</v>
      </c>
      <c r="B34" s="26" t="s">
        <v>649</v>
      </c>
      <c r="C34" s="26" t="s">
        <v>650</v>
      </c>
      <c r="D34" s="26" t="str">
        <f>"0,6618"</f>
        <v>0,6618</v>
      </c>
      <c r="E34" s="25" t="s">
        <v>18</v>
      </c>
      <c r="F34" s="25" t="s">
        <v>95</v>
      </c>
      <c r="G34" s="26" t="s">
        <v>249</v>
      </c>
      <c r="H34" s="26" t="s">
        <v>136</v>
      </c>
      <c r="I34" s="26" t="s">
        <v>170</v>
      </c>
      <c r="J34" s="27"/>
      <c r="K34" s="26" t="s">
        <v>25</v>
      </c>
      <c r="L34" s="26" t="s">
        <v>190</v>
      </c>
      <c r="M34" s="27" t="s">
        <v>191</v>
      </c>
      <c r="N34" s="27"/>
      <c r="O34" s="26" t="s">
        <v>178</v>
      </c>
      <c r="P34" s="26" t="s">
        <v>179</v>
      </c>
      <c r="Q34" s="26" t="s">
        <v>78</v>
      </c>
      <c r="R34" s="27"/>
      <c r="S34" s="25" t="str">
        <f>"452,5"</f>
        <v>452,5</v>
      </c>
      <c r="T34" s="26" t="str">
        <f>"299,4419"</f>
        <v>299,4419</v>
      </c>
      <c r="U34" s="25"/>
    </row>
    <row r="35" spans="1:21">
      <c r="A35" s="29" t="s">
        <v>652</v>
      </c>
      <c r="B35" s="28" t="s">
        <v>653</v>
      </c>
      <c r="C35" s="28" t="s">
        <v>654</v>
      </c>
      <c r="D35" s="28" t="str">
        <f>"0,6583"</f>
        <v>0,6583</v>
      </c>
      <c r="E35" s="29" t="s">
        <v>18</v>
      </c>
      <c r="F35" s="29" t="s">
        <v>95</v>
      </c>
      <c r="G35" s="28" t="s">
        <v>32</v>
      </c>
      <c r="H35" s="30" t="s">
        <v>142</v>
      </c>
      <c r="I35" s="30" t="s">
        <v>142</v>
      </c>
      <c r="J35" s="30"/>
      <c r="K35" s="28" t="s">
        <v>21</v>
      </c>
      <c r="L35" s="28" t="s">
        <v>34</v>
      </c>
      <c r="M35" s="30" t="s">
        <v>35</v>
      </c>
      <c r="N35" s="30"/>
      <c r="O35" s="28" t="s">
        <v>33</v>
      </c>
      <c r="P35" s="28" t="s">
        <v>37</v>
      </c>
      <c r="Q35" s="28" t="s">
        <v>136</v>
      </c>
      <c r="R35" s="30"/>
      <c r="S35" s="29" t="str">
        <f>"360,0"</f>
        <v>360,0</v>
      </c>
      <c r="T35" s="28" t="str">
        <f>"295,3095"</f>
        <v>295,3095</v>
      </c>
      <c r="U35" s="29"/>
    </row>
    <row r="37" spans="1:21" ht="15">
      <c r="A37" s="47" t="s">
        <v>144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</row>
    <row r="38" spans="1:21">
      <c r="A38" s="22" t="s">
        <v>656</v>
      </c>
      <c r="B38" s="23" t="s">
        <v>657</v>
      </c>
      <c r="C38" s="23" t="s">
        <v>658</v>
      </c>
      <c r="D38" s="23" t="str">
        <f>"0,6141"</f>
        <v>0,6141</v>
      </c>
      <c r="E38" s="22" t="s">
        <v>59</v>
      </c>
      <c r="F38" s="22" t="s">
        <v>60</v>
      </c>
      <c r="G38" s="23" t="s">
        <v>34</v>
      </c>
      <c r="H38" s="23" t="s">
        <v>24</v>
      </c>
      <c r="I38" s="23" t="s">
        <v>25</v>
      </c>
      <c r="J38" s="24"/>
      <c r="K38" s="23" t="s">
        <v>21</v>
      </c>
      <c r="L38" s="24" t="s">
        <v>35</v>
      </c>
      <c r="M38" s="24" t="s">
        <v>35</v>
      </c>
      <c r="N38" s="24"/>
      <c r="O38" s="23" t="s">
        <v>126</v>
      </c>
      <c r="P38" s="23" t="s">
        <v>142</v>
      </c>
      <c r="Q38" s="24" t="s">
        <v>169</v>
      </c>
      <c r="R38" s="24"/>
      <c r="S38" s="22" t="str">
        <f>"320,0"</f>
        <v>320,0</v>
      </c>
      <c r="T38" s="23" t="str">
        <f>"196,5280"</f>
        <v>196,5280</v>
      </c>
      <c r="U38" s="22"/>
    </row>
    <row r="39" spans="1:21">
      <c r="A39" s="25" t="s">
        <v>660</v>
      </c>
      <c r="B39" s="26" t="s">
        <v>661</v>
      </c>
      <c r="C39" s="26" t="s">
        <v>662</v>
      </c>
      <c r="D39" s="26" t="str">
        <f>"0,6238"</f>
        <v>0,6238</v>
      </c>
      <c r="E39" s="25" t="s">
        <v>18</v>
      </c>
      <c r="F39" s="25" t="s">
        <v>663</v>
      </c>
      <c r="G39" s="27" t="s">
        <v>156</v>
      </c>
      <c r="H39" s="27" t="s">
        <v>156</v>
      </c>
      <c r="I39" s="26" t="s">
        <v>156</v>
      </c>
      <c r="J39" s="27"/>
      <c r="K39" s="26" t="s">
        <v>125</v>
      </c>
      <c r="L39" s="26" t="s">
        <v>32</v>
      </c>
      <c r="M39" s="27" t="s">
        <v>33</v>
      </c>
      <c r="N39" s="27"/>
      <c r="O39" s="27" t="s">
        <v>197</v>
      </c>
      <c r="P39" s="27" t="s">
        <v>197</v>
      </c>
      <c r="Q39" s="26" t="s">
        <v>197</v>
      </c>
      <c r="R39" s="27"/>
      <c r="S39" s="25" t="str">
        <f>"570,0"</f>
        <v>570,0</v>
      </c>
      <c r="T39" s="26" t="str">
        <f>"355,5945"</f>
        <v>355,5945</v>
      </c>
      <c r="U39" s="25"/>
    </row>
    <row r="40" spans="1:21">
      <c r="A40" s="29" t="s">
        <v>665</v>
      </c>
      <c r="B40" s="28" t="s">
        <v>666</v>
      </c>
      <c r="C40" s="28" t="s">
        <v>667</v>
      </c>
      <c r="D40" s="28" t="str">
        <f>"0,6317"</f>
        <v>0,6317</v>
      </c>
      <c r="E40" s="29" t="s">
        <v>18</v>
      </c>
      <c r="F40" s="29" t="s">
        <v>95</v>
      </c>
      <c r="G40" s="28" t="s">
        <v>142</v>
      </c>
      <c r="H40" s="28" t="s">
        <v>169</v>
      </c>
      <c r="I40" s="28" t="s">
        <v>38</v>
      </c>
      <c r="J40" s="30"/>
      <c r="K40" s="28" t="s">
        <v>25</v>
      </c>
      <c r="L40" s="30" t="s">
        <v>190</v>
      </c>
      <c r="M40" s="30" t="s">
        <v>125</v>
      </c>
      <c r="N40" s="30"/>
      <c r="O40" s="28" t="s">
        <v>124</v>
      </c>
      <c r="P40" s="30" t="s">
        <v>416</v>
      </c>
      <c r="Q40" s="28" t="s">
        <v>416</v>
      </c>
      <c r="R40" s="30"/>
      <c r="S40" s="29" t="str">
        <f>"430,0"</f>
        <v>430,0</v>
      </c>
      <c r="T40" s="28" t="str">
        <f>"290,1019"</f>
        <v>290,1019</v>
      </c>
      <c r="U40" s="29"/>
    </row>
    <row r="42" spans="1:21" ht="15">
      <c r="A42" s="47" t="s">
        <v>161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1">
      <c r="A43" s="22" t="s">
        <v>669</v>
      </c>
      <c r="B43" s="23" t="s">
        <v>670</v>
      </c>
      <c r="C43" s="23" t="s">
        <v>671</v>
      </c>
      <c r="D43" s="23" t="str">
        <f>"0,5838"</f>
        <v>0,5838</v>
      </c>
      <c r="E43" s="22" t="s">
        <v>18</v>
      </c>
      <c r="F43" s="22" t="s">
        <v>60</v>
      </c>
      <c r="G43" s="23" t="s">
        <v>149</v>
      </c>
      <c r="H43" s="23" t="s">
        <v>119</v>
      </c>
      <c r="I43" s="23" t="s">
        <v>150</v>
      </c>
      <c r="J43" s="24"/>
      <c r="K43" s="23" t="s">
        <v>63</v>
      </c>
      <c r="L43" s="23" t="s">
        <v>190</v>
      </c>
      <c r="M43" s="24" t="s">
        <v>191</v>
      </c>
      <c r="N43" s="24"/>
      <c r="O43" s="23" t="s">
        <v>150</v>
      </c>
      <c r="P43" s="23" t="s">
        <v>85</v>
      </c>
      <c r="Q43" s="24" t="s">
        <v>143</v>
      </c>
      <c r="R43" s="24"/>
      <c r="S43" s="22" t="str">
        <f>"542,5"</f>
        <v>542,5</v>
      </c>
      <c r="T43" s="23" t="str">
        <f>"316,7115"</f>
        <v>316,7115</v>
      </c>
      <c r="U43" s="22"/>
    </row>
    <row r="44" spans="1:21">
      <c r="A44" s="25" t="s">
        <v>673</v>
      </c>
      <c r="B44" s="26" t="s">
        <v>674</v>
      </c>
      <c r="C44" s="26" t="s">
        <v>675</v>
      </c>
      <c r="D44" s="26" t="str">
        <f>"0,5922"</f>
        <v>0,5922</v>
      </c>
      <c r="E44" s="25" t="s">
        <v>18</v>
      </c>
      <c r="F44" s="25" t="s">
        <v>676</v>
      </c>
      <c r="G44" s="26" t="s">
        <v>149</v>
      </c>
      <c r="H44" s="26" t="s">
        <v>119</v>
      </c>
      <c r="I44" s="27" t="s">
        <v>150</v>
      </c>
      <c r="J44" s="27"/>
      <c r="K44" s="26" t="s">
        <v>249</v>
      </c>
      <c r="L44" s="27" t="s">
        <v>136</v>
      </c>
      <c r="M44" s="27" t="s">
        <v>136</v>
      </c>
      <c r="N44" s="27"/>
      <c r="O44" s="26" t="s">
        <v>143</v>
      </c>
      <c r="P44" s="26" t="s">
        <v>141</v>
      </c>
      <c r="Q44" s="26" t="s">
        <v>197</v>
      </c>
      <c r="R44" s="27"/>
      <c r="S44" s="25" t="str">
        <f>"590,0"</f>
        <v>590,0</v>
      </c>
      <c r="T44" s="26" t="str">
        <f>"349,4275"</f>
        <v>349,4275</v>
      </c>
      <c r="U44" s="25"/>
    </row>
    <row r="45" spans="1:21">
      <c r="A45" s="25" t="s">
        <v>677</v>
      </c>
      <c r="B45" s="26" t="s">
        <v>678</v>
      </c>
      <c r="C45" s="26" t="s">
        <v>671</v>
      </c>
      <c r="D45" s="26" t="str">
        <f>"0,5838"</f>
        <v>0,5838</v>
      </c>
      <c r="E45" s="25" t="s">
        <v>18</v>
      </c>
      <c r="F45" s="25" t="s">
        <v>60</v>
      </c>
      <c r="G45" s="26" t="s">
        <v>149</v>
      </c>
      <c r="H45" s="26" t="s">
        <v>119</v>
      </c>
      <c r="I45" s="26" t="s">
        <v>150</v>
      </c>
      <c r="J45" s="27"/>
      <c r="K45" s="26" t="s">
        <v>63</v>
      </c>
      <c r="L45" s="26" t="s">
        <v>190</v>
      </c>
      <c r="M45" s="27" t="s">
        <v>191</v>
      </c>
      <c r="N45" s="27"/>
      <c r="O45" s="26" t="s">
        <v>150</v>
      </c>
      <c r="P45" s="26" t="s">
        <v>85</v>
      </c>
      <c r="Q45" s="27" t="s">
        <v>143</v>
      </c>
      <c r="R45" s="27"/>
      <c r="S45" s="25" t="str">
        <f>"542,5"</f>
        <v>542,5</v>
      </c>
      <c r="T45" s="26" t="str">
        <f>"316,7115"</f>
        <v>316,7115</v>
      </c>
      <c r="U45" s="25"/>
    </row>
    <row r="46" spans="1:21">
      <c r="A46" s="25" t="s">
        <v>680</v>
      </c>
      <c r="B46" s="26" t="s">
        <v>681</v>
      </c>
      <c r="C46" s="26" t="s">
        <v>682</v>
      </c>
      <c r="D46" s="26" t="str">
        <f>"0,5974"</f>
        <v>0,5974</v>
      </c>
      <c r="E46" s="25" t="s">
        <v>18</v>
      </c>
      <c r="F46" s="25" t="s">
        <v>683</v>
      </c>
      <c r="G46" s="26" t="s">
        <v>126</v>
      </c>
      <c r="H46" s="26" t="s">
        <v>33</v>
      </c>
      <c r="I46" s="27" t="s">
        <v>249</v>
      </c>
      <c r="J46" s="27"/>
      <c r="K46" s="26" t="s">
        <v>52</v>
      </c>
      <c r="L46" s="26" t="s">
        <v>25</v>
      </c>
      <c r="M46" s="26" t="s">
        <v>125</v>
      </c>
      <c r="N46" s="27"/>
      <c r="O46" s="26" t="s">
        <v>169</v>
      </c>
      <c r="P46" s="26" t="s">
        <v>170</v>
      </c>
      <c r="Q46" s="26" t="s">
        <v>178</v>
      </c>
      <c r="R46" s="27"/>
      <c r="S46" s="25" t="str">
        <f>"410,0"</f>
        <v>410,0</v>
      </c>
      <c r="T46" s="26" t="str">
        <f>"244,9340"</f>
        <v>244,9340</v>
      </c>
      <c r="U46" s="25"/>
    </row>
    <row r="47" spans="1:21">
      <c r="A47" s="29" t="s">
        <v>685</v>
      </c>
      <c r="B47" s="28" t="s">
        <v>686</v>
      </c>
      <c r="C47" s="28" t="s">
        <v>687</v>
      </c>
      <c r="D47" s="28" t="str">
        <f>"0,5843"</f>
        <v>0,5843</v>
      </c>
      <c r="E47" s="29" t="s">
        <v>18</v>
      </c>
      <c r="F47" s="29" t="s">
        <v>688</v>
      </c>
      <c r="G47" s="28" t="s">
        <v>78</v>
      </c>
      <c r="H47" s="28" t="s">
        <v>156</v>
      </c>
      <c r="I47" s="30" t="s">
        <v>128</v>
      </c>
      <c r="J47" s="30"/>
      <c r="K47" s="30" t="s">
        <v>689</v>
      </c>
      <c r="L47" s="28" t="s">
        <v>136</v>
      </c>
      <c r="M47" s="28" t="s">
        <v>170</v>
      </c>
      <c r="N47" s="30"/>
      <c r="O47" s="28" t="s">
        <v>128</v>
      </c>
      <c r="P47" s="28" t="s">
        <v>129</v>
      </c>
      <c r="Q47" s="28" t="s">
        <v>85</v>
      </c>
      <c r="R47" s="30"/>
      <c r="S47" s="29" t="str">
        <f>"570,0"</f>
        <v>570,0</v>
      </c>
      <c r="T47" s="28" t="str">
        <f>"339,7120"</f>
        <v>339,7120</v>
      </c>
      <c r="U47" s="29"/>
    </row>
    <row r="49" spans="1:5" ht="15">
      <c r="E49" s="12" t="s">
        <v>64</v>
      </c>
    </row>
    <row r="50" spans="1:5" ht="15">
      <c r="E50" s="12" t="s">
        <v>65</v>
      </c>
    </row>
    <row r="51" spans="1:5" ht="15">
      <c r="E51" s="12" t="s">
        <v>66</v>
      </c>
    </row>
    <row r="52" spans="1:5">
      <c r="E52" s="4" t="s">
        <v>67</v>
      </c>
    </row>
    <row r="53" spans="1:5">
      <c r="E53" s="4" t="s">
        <v>68</v>
      </c>
    </row>
    <row r="54" spans="1:5">
      <c r="E54" s="4" t="s">
        <v>69</v>
      </c>
    </row>
    <row r="57" spans="1:5" ht="18">
      <c r="A57" s="13" t="s">
        <v>70</v>
      </c>
      <c r="B57" s="14"/>
    </row>
    <row r="58" spans="1:5" ht="15">
      <c r="A58" s="15" t="s">
        <v>71</v>
      </c>
      <c r="B58" s="16"/>
    </row>
    <row r="59" spans="1:5" ht="14.25">
      <c r="A59" s="18"/>
      <c r="B59" s="19" t="s">
        <v>80</v>
      </c>
    </row>
    <row r="60" spans="1:5" ht="15">
      <c r="A60" s="20" t="s">
        <v>0</v>
      </c>
      <c r="B60" s="20" t="s">
        <v>73</v>
      </c>
      <c r="C60" s="20" t="s">
        <v>74</v>
      </c>
      <c r="D60" s="20" t="s">
        <v>75</v>
      </c>
      <c r="E60" s="20" t="s">
        <v>11</v>
      </c>
    </row>
    <row r="61" spans="1:5">
      <c r="A61" s="17" t="s">
        <v>600</v>
      </c>
      <c r="B61" s="5" t="s">
        <v>80</v>
      </c>
      <c r="C61" s="5" t="s">
        <v>77</v>
      </c>
      <c r="D61" s="5" t="s">
        <v>690</v>
      </c>
      <c r="E61" s="21" t="s">
        <v>691</v>
      </c>
    </row>
    <row r="62" spans="1:5">
      <c r="A62" s="17" t="s">
        <v>587</v>
      </c>
      <c r="B62" s="5" t="s">
        <v>80</v>
      </c>
      <c r="C62" s="5" t="s">
        <v>457</v>
      </c>
      <c r="D62" s="5" t="s">
        <v>692</v>
      </c>
      <c r="E62" s="21" t="s">
        <v>693</v>
      </c>
    </row>
    <row r="63" spans="1:5">
      <c r="A63" s="17" t="s">
        <v>582</v>
      </c>
      <c r="B63" s="5" t="s">
        <v>80</v>
      </c>
      <c r="C63" s="5" t="s">
        <v>84</v>
      </c>
      <c r="D63" s="5" t="s">
        <v>694</v>
      </c>
      <c r="E63" s="21" t="s">
        <v>695</v>
      </c>
    </row>
    <row r="64" spans="1:5">
      <c r="A64" s="17" t="s">
        <v>606</v>
      </c>
      <c r="B64" s="5" t="s">
        <v>80</v>
      </c>
      <c r="C64" s="5" t="s">
        <v>77</v>
      </c>
      <c r="D64" s="5" t="s">
        <v>197</v>
      </c>
      <c r="E64" s="21" t="s">
        <v>696</v>
      </c>
    </row>
    <row r="65" spans="1:5">
      <c r="A65" s="17" t="s">
        <v>592</v>
      </c>
      <c r="B65" s="5" t="s">
        <v>80</v>
      </c>
      <c r="C65" s="5" t="s">
        <v>457</v>
      </c>
      <c r="D65" s="5" t="s">
        <v>697</v>
      </c>
      <c r="E65" s="21" t="s">
        <v>698</v>
      </c>
    </row>
    <row r="66" spans="1:5">
      <c r="A66" s="17" t="s">
        <v>610</v>
      </c>
      <c r="B66" s="5" t="s">
        <v>80</v>
      </c>
      <c r="C66" s="5" t="s">
        <v>77</v>
      </c>
      <c r="D66" s="5" t="s">
        <v>85</v>
      </c>
      <c r="E66" s="21" t="s">
        <v>699</v>
      </c>
    </row>
    <row r="68" spans="1:5" ht="14.25">
      <c r="A68" s="18"/>
      <c r="B68" s="19" t="s">
        <v>206</v>
      </c>
    </row>
    <row r="69" spans="1:5" ht="15">
      <c r="A69" s="20" t="s">
        <v>0</v>
      </c>
      <c r="B69" s="20" t="s">
        <v>73</v>
      </c>
      <c r="C69" s="20" t="s">
        <v>74</v>
      </c>
      <c r="D69" s="20" t="s">
        <v>75</v>
      </c>
      <c r="E69" s="20" t="s">
        <v>11</v>
      </c>
    </row>
    <row r="70" spans="1:5">
      <c r="A70" s="17" t="s">
        <v>596</v>
      </c>
      <c r="B70" s="5" t="s">
        <v>241</v>
      </c>
      <c r="C70" s="5" t="s">
        <v>81</v>
      </c>
      <c r="D70" s="5" t="s">
        <v>198</v>
      </c>
      <c r="E70" s="21" t="s">
        <v>700</v>
      </c>
    </row>
    <row r="73" spans="1:5" ht="15">
      <c r="A73" s="15" t="s">
        <v>213</v>
      </c>
      <c r="B73" s="16"/>
    </row>
    <row r="74" spans="1:5" ht="14.25">
      <c r="A74" s="18"/>
      <c r="B74" s="19" t="s">
        <v>214</v>
      </c>
    </row>
    <row r="75" spans="1:5" ht="15">
      <c r="A75" s="20" t="s">
        <v>0</v>
      </c>
      <c r="B75" s="20" t="s">
        <v>73</v>
      </c>
      <c r="C75" s="20" t="s">
        <v>74</v>
      </c>
      <c r="D75" s="20" t="s">
        <v>75</v>
      </c>
      <c r="E75" s="20" t="s">
        <v>11</v>
      </c>
    </row>
    <row r="76" spans="1:5">
      <c r="A76" s="17" t="s">
        <v>618</v>
      </c>
      <c r="B76" s="5" t="s">
        <v>701</v>
      </c>
      <c r="C76" s="5" t="s">
        <v>87</v>
      </c>
      <c r="D76" s="5" t="s">
        <v>702</v>
      </c>
      <c r="E76" s="21" t="s">
        <v>703</v>
      </c>
    </row>
    <row r="77" spans="1:5">
      <c r="A77" s="17" t="s">
        <v>655</v>
      </c>
      <c r="B77" s="5" t="s">
        <v>701</v>
      </c>
      <c r="C77" s="5" t="s">
        <v>229</v>
      </c>
      <c r="D77" s="5" t="s">
        <v>524</v>
      </c>
      <c r="E77" s="21" t="s">
        <v>704</v>
      </c>
    </row>
    <row r="79" spans="1:5" ht="14.25">
      <c r="A79" s="18"/>
      <c r="B79" s="19" t="s">
        <v>72</v>
      </c>
    </row>
    <row r="80" spans="1:5" ht="15">
      <c r="A80" s="20" t="s">
        <v>0</v>
      </c>
      <c r="B80" s="20" t="s">
        <v>73</v>
      </c>
      <c r="C80" s="20" t="s">
        <v>74</v>
      </c>
      <c r="D80" s="20" t="s">
        <v>75</v>
      </c>
      <c r="E80" s="20" t="s">
        <v>11</v>
      </c>
    </row>
    <row r="81" spans="1:5">
      <c r="A81" s="17" t="s">
        <v>668</v>
      </c>
      <c r="B81" s="5" t="s">
        <v>76</v>
      </c>
      <c r="C81" s="5" t="s">
        <v>217</v>
      </c>
      <c r="D81" s="5" t="s">
        <v>705</v>
      </c>
      <c r="E81" s="21" t="s">
        <v>706</v>
      </c>
    </row>
    <row r="82" spans="1:5">
      <c r="A82" s="17" t="s">
        <v>614</v>
      </c>
      <c r="B82" s="5" t="s">
        <v>76</v>
      </c>
      <c r="C82" s="5" t="s">
        <v>77</v>
      </c>
      <c r="D82" s="5" t="s">
        <v>707</v>
      </c>
      <c r="E82" s="21" t="s">
        <v>708</v>
      </c>
    </row>
    <row r="84" spans="1:5" ht="14.25">
      <c r="A84" s="18"/>
      <c r="B84" s="19" t="s">
        <v>80</v>
      </c>
    </row>
    <row r="85" spans="1:5" ht="15">
      <c r="A85" s="20" t="s">
        <v>0</v>
      </c>
      <c r="B85" s="20" t="s">
        <v>73</v>
      </c>
      <c r="C85" s="20" t="s">
        <v>74</v>
      </c>
      <c r="D85" s="20" t="s">
        <v>75</v>
      </c>
      <c r="E85" s="20" t="s">
        <v>11</v>
      </c>
    </row>
    <row r="86" spans="1:5">
      <c r="A86" s="17" t="s">
        <v>625</v>
      </c>
      <c r="B86" s="5" t="s">
        <v>80</v>
      </c>
      <c r="C86" s="5" t="s">
        <v>87</v>
      </c>
      <c r="D86" s="5" t="s">
        <v>709</v>
      </c>
      <c r="E86" s="21" t="s">
        <v>710</v>
      </c>
    </row>
    <row r="87" spans="1:5">
      <c r="A87" s="17" t="s">
        <v>659</v>
      </c>
      <c r="B87" s="5" t="s">
        <v>80</v>
      </c>
      <c r="C87" s="5" t="s">
        <v>229</v>
      </c>
      <c r="D87" s="5" t="s">
        <v>230</v>
      </c>
      <c r="E87" s="21" t="s">
        <v>711</v>
      </c>
    </row>
    <row r="88" spans="1:5">
      <c r="A88" s="17" t="s">
        <v>672</v>
      </c>
      <c r="B88" s="5" t="s">
        <v>80</v>
      </c>
      <c r="C88" s="5" t="s">
        <v>217</v>
      </c>
      <c r="D88" s="5" t="s">
        <v>232</v>
      </c>
      <c r="E88" s="21" t="s">
        <v>712</v>
      </c>
    </row>
    <row r="89" spans="1:5">
      <c r="A89" s="17" t="s">
        <v>633</v>
      </c>
      <c r="B89" s="5" t="s">
        <v>80</v>
      </c>
      <c r="C89" s="5" t="s">
        <v>455</v>
      </c>
      <c r="D89" s="5" t="s">
        <v>234</v>
      </c>
      <c r="E89" s="21" t="s">
        <v>713</v>
      </c>
    </row>
    <row r="90" spans="1:5">
      <c r="A90" s="17" t="s">
        <v>637</v>
      </c>
      <c r="B90" s="5" t="s">
        <v>80</v>
      </c>
      <c r="C90" s="5" t="s">
        <v>455</v>
      </c>
      <c r="D90" s="5" t="s">
        <v>714</v>
      </c>
      <c r="E90" s="21" t="s">
        <v>715</v>
      </c>
    </row>
    <row r="91" spans="1:5">
      <c r="A91" s="17" t="s">
        <v>668</v>
      </c>
      <c r="B91" s="5" t="s">
        <v>80</v>
      </c>
      <c r="C91" s="5" t="s">
        <v>217</v>
      </c>
      <c r="D91" s="5" t="s">
        <v>705</v>
      </c>
      <c r="E91" s="21" t="s">
        <v>706</v>
      </c>
    </row>
    <row r="92" spans="1:5">
      <c r="A92" s="17" t="s">
        <v>641</v>
      </c>
      <c r="B92" s="5" t="s">
        <v>80</v>
      </c>
      <c r="C92" s="5" t="s">
        <v>455</v>
      </c>
      <c r="D92" s="5" t="s">
        <v>266</v>
      </c>
      <c r="E92" s="21" t="s">
        <v>716</v>
      </c>
    </row>
    <row r="93" spans="1:5">
      <c r="A93" s="17" t="s">
        <v>644</v>
      </c>
      <c r="B93" s="5" t="s">
        <v>80</v>
      </c>
      <c r="C93" s="5" t="s">
        <v>455</v>
      </c>
      <c r="D93" s="5" t="s">
        <v>717</v>
      </c>
      <c r="E93" s="21" t="s">
        <v>718</v>
      </c>
    </row>
    <row r="94" spans="1:5">
      <c r="A94" s="17" t="s">
        <v>679</v>
      </c>
      <c r="B94" s="5" t="s">
        <v>80</v>
      </c>
      <c r="C94" s="5" t="s">
        <v>217</v>
      </c>
      <c r="D94" s="5" t="s">
        <v>719</v>
      </c>
      <c r="E94" s="21" t="s">
        <v>720</v>
      </c>
    </row>
    <row r="96" spans="1:5" ht="14.25">
      <c r="A96" s="18"/>
      <c r="B96" s="19" t="s">
        <v>206</v>
      </c>
    </row>
    <row r="97" spans="1:5" ht="15">
      <c r="A97" s="20" t="s">
        <v>0</v>
      </c>
      <c r="B97" s="20" t="s">
        <v>73</v>
      </c>
      <c r="C97" s="20" t="s">
        <v>74</v>
      </c>
      <c r="D97" s="20" t="s">
        <v>75</v>
      </c>
      <c r="E97" s="20" t="s">
        <v>11</v>
      </c>
    </row>
    <row r="98" spans="1:5">
      <c r="A98" s="17" t="s">
        <v>684</v>
      </c>
      <c r="B98" s="5" t="s">
        <v>241</v>
      </c>
      <c r="C98" s="5" t="s">
        <v>217</v>
      </c>
      <c r="D98" s="5" t="s">
        <v>230</v>
      </c>
      <c r="E98" s="21" t="s">
        <v>721</v>
      </c>
    </row>
    <row r="99" spans="1:5">
      <c r="A99" s="17" t="s">
        <v>647</v>
      </c>
      <c r="B99" s="5" t="s">
        <v>241</v>
      </c>
      <c r="C99" s="5" t="s">
        <v>455</v>
      </c>
      <c r="D99" s="5" t="s">
        <v>722</v>
      </c>
      <c r="E99" s="21" t="s">
        <v>723</v>
      </c>
    </row>
    <row r="100" spans="1:5">
      <c r="A100" s="17" t="s">
        <v>651</v>
      </c>
      <c r="B100" s="5" t="s">
        <v>480</v>
      </c>
      <c r="C100" s="5" t="s">
        <v>455</v>
      </c>
      <c r="D100" s="5" t="s">
        <v>724</v>
      </c>
      <c r="E100" s="21" t="s">
        <v>725</v>
      </c>
    </row>
    <row r="101" spans="1:5">
      <c r="A101" s="17" t="s">
        <v>664</v>
      </c>
      <c r="B101" s="5" t="s">
        <v>210</v>
      </c>
      <c r="C101" s="5" t="s">
        <v>229</v>
      </c>
      <c r="D101" s="5" t="s">
        <v>726</v>
      </c>
      <c r="E101" s="21" t="s">
        <v>727</v>
      </c>
    </row>
  </sheetData>
  <mergeCells count="22">
    <mergeCell ref="A42:T42"/>
    <mergeCell ref="S3:S4"/>
    <mergeCell ref="T3:T4"/>
    <mergeCell ref="U3:U4"/>
    <mergeCell ref="A5:T5"/>
    <mergeCell ref="A8:T8"/>
    <mergeCell ref="A12:T12"/>
    <mergeCell ref="A15:T15"/>
    <mergeCell ref="A20:T20"/>
    <mergeCell ref="A23:T23"/>
    <mergeCell ref="A28:T28"/>
    <mergeCell ref="A37:T37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1699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3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184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22" t="s">
        <v>564</v>
      </c>
      <c r="B6" s="23" t="s">
        <v>565</v>
      </c>
      <c r="C6" s="23" t="s">
        <v>566</v>
      </c>
      <c r="D6" s="23" t="str">
        <f>"0,5713"</f>
        <v>0,5713</v>
      </c>
      <c r="E6" s="22" t="s">
        <v>18</v>
      </c>
      <c r="F6" s="22" t="s">
        <v>177</v>
      </c>
      <c r="G6" s="23" t="s">
        <v>119</v>
      </c>
      <c r="H6" s="24" t="s">
        <v>129</v>
      </c>
      <c r="I6" s="24" t="s">
        <v>85</v>
      </c>
      <c r="J6" s="24"/>
      <c r="K6" s="22" t="str">
        <f>"200,0"</f>
        <v>200,0</v>
      </c>
      <c r="L6" s="23" t="str">
        <f>"115,3925"</f>
        <v>115,3925</v>
      </c>
      <c r="M6" s="22"/>
    </row>
    <row r="7" spans="1:13" s="5" customFormat="1">
      <c r="A7" s="29" t="s">
        <v>568</v>
      </c>
      <c r="B7" s="28" t="s">
        <v>569</v>
      </c>
      <c r="C7" s="28" t="s">
        <v>570</v>
      </c>
      <c r="D7" s="28" t="str">
        <f>"0,5645"</f>
        <v>0,5645</v>
      </c>
      <c r="E7" s="29" t="s">
        <v>18</v>
      </c>
      <c r="F7" s="29" t="s">
        <v>395</v>
      </c>
      <c r="G7" s="28" t="s">
        <v>150</v>
      </c>
      <c r="H7" s="28" t="s">
        <v>141</v>
      </c>
      <c r="I7" s="28" t="s">
        <v>166</v>
      </c>
      <c r="J7" s="30"/>
      <c r="K7" s="29" t="str">
        <f>"260,0"</f>
        <v>260,0</v>
      </c>
      <c r="L7" s="28" t="str">
        <f>"158,8192"</f>
        <v>158,8192</v>
      </c>
      <c r="M7" s="29"/>
    </row>
    <row r="9" spans="1:13" ht="15">
      <c r="A9" s="47" t="s">
        <v>448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>
      <c r="A10" s="22" t="s">
        <v>572</v>
      </c>
      <c r="B10" s="23" t="s">
        <v>573</v>
      </c>
      <c r="C10" s="23" t="s">
        <v>574</v>
      </c>
      <c r="D10" s="23" t="str">
        <f>"0,5193"</f>
        <v>0,5193</v>
      </c>
      <c r="E10" s="22" t="s">
        <v>18</v>
      </c>
      <c r="F10" s="22" t="s">
        <v>575</v>
      </c>
      <c r="G10" s="24" t="s">
        <v>576</v>
      </c>
      <c r="H10" s="23" t="s">
        <v>576</v>
      </c>
      <c r="I10" s="23" t="s">
        <v>82</v>
      </c>
      <c r="J10" s="24"/>
      <c r="K10" s="22" t="str">
        <f>"370,0"</f>
        <v>370,0</v>
      </c>
      <c r="L10" s="23" t="str">
        <f>"192,1521"</f>
        <v>192,1521</v>
      </c>
      <c r="M10" s="22"/>
    </row>
    <row r="11" spans="1:13">
      <c r="A11" s="29" t="s">
        <v>572</v>
      </c>
      <c r="B11" s="28" t="s">
        <v>577</v>
      </c>
      <c r="C11" s="28" t="s">
        <v>574</v>
      </c>
      <c r="D11" s="28" t="str">
        <f>"0,5193"</f>
        <v>0,5193</v>
      </c>
      <c r="E11" s="29" t="s">
        <v>18</v>
      </c>
      <c r="F11" s="29" t="s">
        <v>575</v>
      </c>
      <c r="G11" s="30" t="s">
        <v>576</v>
      </c>
      <c r="H11" s="28" t="s">
        <v>576</v>
      </c>
      <c r="I11" s="28" t="s">
        <v>82</v>
      </c>
      <c r="J11" s="30"/>
      <c r="K11" s="29" t="str">
        <f>"370,0"</f>
        <v>370,0</v>
      </c>
      <c r="L11" s="28" t="str">
        <f>"200,4146"</f>
        <v>200,4146</v>
      </c>
      <c r="M11" s="29"/>
    </row>
    <row r="13" spans="1:13" ht="15">
      <c r="E13" s="12" t="s">
        <v>64</v>
      </c>
    </row>
    <row r="14" spans="1:13" ht="15">
      <c r="E14" s="12" t="s">
        <v>65</v>
      </c>
    </row>
    <row r="15" spans="1:13" ht="15">
      <c r="E15" s="12" t="s">
        <v>66</v>
      </c>
    </row>
    <row r="16" spans="1:13">
      <c r="E16" s="4" t="s">
        <v>67</v>
      </c>
    </row>
    <row r="17" spans="1:5">
      <c r="E17" s="4" t="s">
        <v>68</v>
      </c>
    </row>
    <row r="18" spans="1:5">
      <c r="E18" s="4" t="s">
        <v>69</v>
      </c>
    </row>
    <row r="21" spans="1:5" ht="18">
      <c r="A21" s="13" t="s">
        <v>70</v>
      </c>
      <c r="B21" s="14"/>
    </row>
    <row r="22" spans="1:5" ht="15">
      <c r="A22" s="15" t="s">
        <v>213</v>
      </c>
      <c r="B22" s="16"/>
    </row>
    <row r="23" spans="1:5" ht="14.25">
      <c r="A23" s="18"/>
      <c r="B23" s="19" t="s">
        <v>80</v>
      </c>
    </row>
    <row r="24" spans="1:5" ht="15">
      <c r="A24" s="20" t="s">
        <v>0</v>
      </c>
      <c r="B24" s="20" t="s">
        <v>73</v>
      </c>
      <c r="C24" s="20" t="s">
        <v>74</v>
      </c>
      <c r="D24" s="20" t="s">
        <v>75</v>
      </c>
      <c r="E24" s="20" t="s">
        <v>11</v>
      </c>
    </row>
    <row r="25" spans="1:5">
      <c r="A25" s="17" t="s">
        <v>571</v>
      </c>
      <c r="B25" s="5" t="s">
        <v>80</v>
      </c>
      <c r="C25" s="5" t="s">
        <v>473</v>
      </c>
      <c r="D25" s="5" t="s">
        <v>82</v>
      </c>
      <c r="E25" s="21" t="s">
        <v>578</v>
      </c>
    </row>
    <row r="27" spans="1:5" ht="14.25">
      <c r="A27" s="18"/>
      <c r="B27" s="19" t="s">
        <v>206</v>
      </c>
    </row>
    <row r="28" spans="1:5" ht="15">
      <c r="A28" s="20" t="s">
        <v>0</v>
      </c>
      <c r="B28" s="20" t="s">
        <v>73</v>
      </c>
      <c r="C28" s="20" t="s">
        <v>74</v>
      </c>
      <c r="D28" s="20" t="s">
        <v>75</v>
      </c>
      <c r="E28" s="20" t="s">
        <v>11</v>
      </c>
    </row>
    <row r="29" spans="1:5">
      <c r="A29" s="17" t="s">
        <v>571</v>
      </c>
      <c r="B29" s="5" t="s">
        <v>241</v>
      </c>
      <c r="C29" s="5" t="s">
        <v>473</v>
      </c>
      <c r="D29" s="5" t="s">
        <v>82</v>
      </c>
      <c r="E29" s="21" t="s">
        <v>579</v>
      </c>
    </row>
    <row r="30" spans="1:5">
      <c r="A30" s="17" t="s">
        <v>567</v>
      </c>
      <c r="B30" s="5" t="s">
        <v>210</v>
      </c>
      <c r="C30" s="5" t="s">
        <v>222</v>
      </c>
      <c r="D30" s="5" t="s">
        <v>166</v>
      </c>
      <c r="E30" s="21" t="s">
        <v>580</v>
      </c>
    </row>
    <row r="31" spans="1:5">
      <c r="A31" s="17" t="s">
        <v>563</v>
      </c>
      <c r="B31" s="5" t="s">
        <v>241</v>
      </c>
      <c r="C31" s="5" t="s">
        <v>222</v>
      </c>
      <c r="D31" s="5" t="s">
        <v>119</v>
      </c>
      <c r="E31" s="21" t="s">
        <v>581</v>
      </c>
    </row>
  </sheetData>
  <mergeCells count="13">
    <mergeCell ref="A5:L5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1698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3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305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22" t="s">
        <v>534</v>
      </c>
      <c r="B6" s="23" t="s">
        <v>535</v>
      </c>
      <c r="C6" s="23" t="s">
        <v>316</v>
      </c>
      <c r="D6" s="23" t="str">
        <f>"0,6567"</f>
        <v>0,6567</v>
      </c>
      <c r="E6" s="22" t="s">
        <v>18</v>
      </c>
      <c r="F6" s="22" t="s">
        <v>536</v>
      </c>
      <c r="G6" s="23" t="s">
        <v>537</v>
      </c>
      <c r="H6" s="23" t="s">
        <v>265</v>
      </c>
      <c r="I6" s="24" t="s">
        <v>167</v>
      </c>
      <c r="J6" s="24"/>
      <c r="K6" s="22" t="str">
        <f>"272,5"</f>
        <v>272,5</v>
      </c>
      <c r="L6" s="23" t="str">
        <f>"178,9508"</f>
        <v>178,9508</v>
      </c>
      <c r="M6" s="22"/>
    </row>
    <row r="7" spans="1:13" s="5" customFormat="1">
      <c r="A7" s="29" t="s">
        <v>539</v>
      </c>
      <c r="B7" s="28" t="s">
        <v>540</v>
      </c>
      <c r="C7" s="28" t="s">
        <v>541</v>
      </c>
      <c r="D7" s="28" t="str">
        <f>"0,6446"</f>
        <v>0,6446</v>
      </c>
      <c r="E7" s="29" t="s">
        <v>18</v>
      </c>
      <c r="F7" s="29" t="s">
        <v>95</v>
      </c>
      <c r="G7" s="28" t="s">
        <v>149</v>
      </c>
      <c r="H7" s="28" t="s">
        <v>128</v>
      </c>
      <c r="I7" s="28" t="s">
        <v>150</v>
      </c>
      <c r="J7" s="30"/>
      <c r="K7" s="29" t="str">
        <f>"210,0"</f>
        <v>210,0</v>
      </c>
      <c r="L7" s="28" t="str">
        <f>"142,8111"</f>
        <v>142,8111</v>
      </c>
      <c r="M7" s="29"/>
    </row>
    <row r="9" spans="1:13" ht="15">
      <c r="A9" s="47" t="s">
        <v>161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3">
      <c r="A10" s="22" t="s">
        <v>542</v>
      </c>
      <c r="B10" s="23" t="s">
        <v>175</v>
      </c>
      <c r="C10" s="23" t="s">
        <v>380</v>
      </c>
      <c r="D10" s="23" t="str">
        <f>"0,5935"</f>
        <v>0,5935</v>
      </c>
      <c r="E10" s="22" t="s">
        <v>18</v>
      </c>
      <c r="F10" s="22" t="s">
        <v>177</v>
      </c>
      <c r="G10" s="23" t="s">
        <v>119</v>
      </c>
      <c r="H10" s="23" t="s">
        <v>129</v>
      </c>
      <c r="I10" s="23" t="s">
        <v>192</v>
      </c>
      <c r="J10" s="24"/>
      <c r="K10" s="22" t="str">
        <f>"222,5"</f>
        <v>222,5</v>
      </c>
      <c r="L10" s="23" t="str">
        <f>"132,0426"</f>
        <v>132,0426</v>
      </c>
      <c r="M10" s="22"/>
    </row>
    <row r="11" spans="1:13">
      <c r="A11" s="29" t="s">
        <v>544</v>
      </c>
      <c r="B11" s="28" t="s">
        <v>545</v>
      </c>
      <c r="C11" s="28" t="s">
        <v>546</v>
      </c>
      <c r="D11" s="28" t="str">
        <f>"0,5911"</f>
        <v>0,5911</v>
      </c>
      <c r="E11" s="29" t="s">
        <v>18</v>
      </c>
      <c r="F11" s="29" t="s">
        <v>547</v>
      </c>
      <c r="G11" s="28" t="s">
        <v>401</v>
      </c>
      <c r="H11" s="30" t="s">
        <v>548</v>
      </c>
      <c r="I11" s="28" t="s">
        <v>548</v>
      </c>
      <c r="J11" s="30"/>
      <c r="K11" s="29" t="str">
        <f>"245,0"</f>
        <v>245,0</v>
      </c>
      <c r="L11" s="28" t="str">
        <f>"146,2677"</f>
        <v>146,2677</v>
      </c>
      <c r="M11" s="29"/>
    </row>
    <row r="13" spans="1:13" ht="15">
      <c r="A13" s="47" t="s">
        <v>184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3">
      <c r="A14" s="22" t="s">
        <v>550</v>
      </c>
      <c r="B14" s="23" t="s">
        <v>551</v>
      </c>
      <c r="C14" s="23" t="s">
        <v>552</v>
      </c>
      <c r="D14" s="23" t="str">
        <f>"0,5635"</f>
        <v>0,5635</v>
      </c>
      <c r="E14" s="22" t="s">
        <v>433</v>
      </c>
      <c r="F14" s="22" t="s">
        <v>95</v>
      </c>
      <c r="G14" s="23" t="s">
        <v>166</v>
      </c>
      <c r="H14" s="23" t="s">
        <v>262</v>
      </c>
      <c r="I14" s="24" t="s">
        <v>553</v>
      </c>
      <c r="J14" s="24"/>
      <c r="K14" s="22" t="str">
        <f>"275,0"</f>
        <v>275,0</v>
      </c>
      <c r="L14" s="23" t="str">
        <f>"154,9625"</f>
        <v>154,9625</v>
      </c>
      <c r="M14" s="22"/>
    </row>
    <row r="15" spans="1:13">
      <c r="A15" s="25" t="s">
        <v>412</v>
      </c>
      <c r="B15" s="26" t="s">
        <v>554</v>
      </c>
      <c r="C15" s="26" t="s">
        <v>414</v>
      </c>
      <c r="D15" s="26" t="str">
        <f>"0,5673"</f>
        <v>0,5673</v>
      </c>
      <c r="E15" s="25" t="s">
        <v>18</v>
      </c>
      <c r="F15" s="25" t="s">
        <v>415</v>
      </c>
      <c r="G15" s="26" t="s">
        <v>197</v>
      </c>
      <c r="H15" s="26" t="s">
        <v>166</v>
      </c>
      <c r="I15" s="26" t="s">
        <v>264</v>
      </c>
      <c r="J15" s="27"/>
      <c r="K15" s="25" t="str">
        <f>"265,0"</f>
        <v>265,0</v>
      </c>
      <c r="L15" s="26" t="str">
        <f>"150,3345"</f>
        <v>150,3345</v>
      </c>
      <c r="M15" s="25"/>
    </row>
    <row r="16" spans="1:13">
      <c r="A16" s="29" t="s">
        <v>555</v>
      </c>
      <c r="B16" s="28" t="s">
        <v>413</v>
      </c>
      <c r="C16" s="28" t="s">
        <v>414</v>
      </c>
      <c r="D16" s="28" t="str">
        <f>"0,5673"</f>
        <v>0,5673</v>
      </c>
      <c r="E16" s="29" t="s">
        <v>18</v>
      </c>
      <c r="F16" s="29" t="s">
        <v>415</v>
      </c>
      <c r="G16" s="28" t="s">
        <v>197</v>
      </c>
      <c r="H16" s="28" t="s">
        <v>166</v>
      </c>
      <c r="I16" s="28" t="s">
        <v>264</v>
      </c>
      <c r="J16" s="30"/>
      <c r="K16" s="29" t="str">
        <f>"265,0"</f>
        <v>265,0</v>
      </c>
      <c r="L16" s="28" t="str">
        <f>"154,9949"</f>
        <v>154,9949</v>
      </c>
      <c r="M16" s="29"/>
    </row>
    <row r="18" spans="1:5" ht="15">
      <c r="E18" s="12" t="s">
        <v>64</v>
      </c>
    </row>
    <row r="19" spans="1:5" ht="15">
      <c r="E19" s="12" t="s">
        <v>65</v>
      </c>
    </row>
    <row r="20" spans="1:5" ht="15">
      <c r="E20" s="12" t="s">
        <v>66</v>
      </c>
    </row>
    <row r="21" spans="1:5">
      <c r="E21" s="4" t="s">
        <v>67</v>
      </c>
    </row>
    <row r="22" spans="1:5">
      <c r="E22" s="4" t="s">
        <v>68</v>
      </c>
    </row>
    <row r="23" spans="1:5">
      <c r="E23" s="4" t="s">
        <v>69</v>
      </c>
    </row>
    <row r="26" spans="1:5" ht="18">
      <c r="A26" s="13" t="s">
        <v>70</v>
      </c>
      <c r="B26" s="14"/>
    </row>
    <row r="27" spans="1:5" ht="15">
      <c r="A27" s="15" t="s">
        <v>213</v>
      </c>
      <c r="B27" s="16"/>
    </row>
    <row r="28" spans="1:5" ht="14.25">
      <c r="A28" s="18"/>
      <c r="B28" s="19" t="s">
        <v>80</v>
      </c>
    </row>
    <row r="29" spans="1:5" ht="15">
      <c r="A29" s="20" t="s">
        <v>0</v>
      </c>
      <c r="B29" s="20" t="s">
        <v>73</v>
      </c>
      <c r="C29" s="20" t="s">
        <v>74</v>
      </c>
      <c r="D29" s="20" t="s">
        <v>75</v>
      </c>
      <c r="E29" s="20" t="s">
        <v>11</v>
      </c>
    </row>
    <row r="30" spans="1:5">
      <c r="A30" s="17" t="s">
        <v>533</v>
      </c>
      <c r="B30" s="5" t="s">
        <v>80</v>
      </c>
      <c r="C30" s="5" t="s">
        <v>455</v>
      </c>
      <c r="D30" s="5" t="s">
        <v>265</v>
      </c>
      <c r="E30" s="21" t="s">
        <v>556</v>
      </c>
    </row>
    <row r="31" spans="1:5">
      <c r="A31" s="17" t="s">
        <v>549</v>
      </c>
      <c r="B31" s="5" t="s">
        <v>80</v>
      </c>
      <c r="C31" s="5" t="s">
        <v>222</v>
      </c>
      <c r="D31" s="5" t="s">
        <v>262</v>
      </c>
      <c r="E31" s="21" t="s">
        <v>557</v>
      </c>
    </row>
    <row r="32" spans="1:5">
      <c r="A32" s="17" t="s">
        <v>411</v>
      </c>
      <c r="B32" s="5" t="s">
        <v>80</v>
      </c>
      <c r="C32" s="5" t="s">
        <v>222</v>
      </c>
      <c r="D32" s="5" t="s">
        <v>264</v>
      </c>
      <c r="E32" s="21" t="s">
        <v>558</v>
      </c>
    </row>
    <row r="33" spans="1:5">
      <c r="A33" s="17" t="s">
        <v>173</v>
      </c>
      <c r="B33" s="5" t="s">
        <v>80</v>
      </c>
      <c r="C33" s="5" t="s">
        <v>217</v>
      </c>
      <c r="D33" s="5" t="s">
        <v>192</v>
      </c>
      <c r="E33" s="21" t="s">
        <v>559</v>
      </c>
    </row>
    <row r="35" spans="1:5" ht="14.25">
      <c r="A35" s="18"/>
      <c r="B35" s="19" t="s">
        <v>206</v>
      </c>
    </row>
    <row r="36" spans="1:5" ht="15">
      <c r="A36" s="20" t="s">
        <v>0</v>
      </c>
      <c r="B36" s="20" t="s">
        <v>73</v>
      </c>
      <c r="C36" s="20" t="s">
        <v>74</v>
      </c>
      <c r="D36" s="20" t="s">
        <v>75</v>
      </c>
      <c r="E36" s="20" t="s">
        <v>11</v>
      </c>
    </row>
    <row r="37" spans="1:5">
      <c r="A37" s="17" t="s">
        <v>411</v>
      </c>
      <c r="B37" s="5" t="s">
        <v>241</v>
      </c>
      <c r="C37" s="5" t="s">
        <v>222</v>
      </c>
      <c r="D37" s="5" t="s">
        <v>264</v>
      </c>
      <c r="E37" s="21" t="s">
        <v>560</v>
      </c>
    </row>
    <row r="38" spans="1:5">
      <c r="A38" s="17" t="s">
        <v>543</v>
      </c>
      <c r="B38" s="5" t="s">
        <v>241</v>
      </c>
      <c r="C38" s="5" t="s">
        <v>217</v>
      </c>
      <c r="D38" s="5" t="s">
        <v>548</v>
      </c>
      <c r="E38" s="21" t="s">
        <v>561</v>
      </c>
    </row>
    <row r="39" spans="1:5">
      <c r="A39" s="17" t="s">
        <v>538</v>
      </c>
      <c r="B39" s="5" t="s">
        <v>210</v>
      </c>
      <c r="C39" s="5" t="s">
        <v>455</v>
      </c>
      <c r="D39" s="5" t="s">
        <v>150</v>
      </c>
      <c r="E39" s="21" t="s">
        <v>562</v>
      </c>
    </row>
  </sheetData>
  <mergeCells count="14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1697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3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305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22" t="s">
        <v>505</v>
      </c>
      <c r="B6" s="23" t="s">
        <v>506</v>
      </c>
      <c r="C6" s="23" t="s">
        <v>507</v>
      </c>
      <c r="D6" s="23" t="str">
        <f>"0,6529"</f>
        <v>0,6529</v>
      </c>
      <c r="E6" s="22" t="s">
        <v>508</v>
      </c>
      <c r="F6" s="22" t="s">
        <v>406</v>
      </c>
      <c r="G6" s="24" t="s">
        <v>78</v>
      </c>
      <c r="H6" s="24" t="s">
        <v>78</v>
      </c>
      <c r="I6" s="23" t="s">
        <v>78</v>
      </c>
      <c r="J6" s="24"/>
      <c r="K6" s="22" t="str">
        <f>"185,0"</f>
        <v>185,0</v>
      </c>
      <c r="L6" s="23" t="str">
        <f>"120,7865"</f>
        <v>120,7865</v>
      </c>
      <c r="M6" s="22"/>
    </row>
    <row r="7" spans="1:13" s="5" customFormat="1">
      <c r="A7" s="25" t="s">
        <v>510</v>
      </c>
      <c r="B7" s="26" t="s">
        <v>511</v>
      </c>
      <c r="C7" s="26" t="s">
        <v>512</v>
      </c>
      <c r="D7" s="26" t="str">
        <f>"0,6606"</f>
        <v>0,6606</v>
      </c>
      <c r="E7" s="25" t="s">
        <v>18</v>
      </c>
      <c r="F7" s="25" t="s">
        <v>395</v>
      </c>
      <c r="G7" s="26" t="s">
        <v>263</v>
      </c>
      <c r="H7" s="27" t="s">
        <v>119</v>
      </c>
      <c r="I7" s="27" t="s">
        <v>119</v>
      </c>
      <c r="J7" s="27"/>
      <c r="K7" s="25" t="str">
        <f>"182,5"</f>
        <v>182,5</v>
      </c>
      <c r="L7" s="26" t="str">
        <f>"120,5595"</f>
        <v>120,5595</v>
      </c>
      <c r="M7" s="25"/>
    </row>
    <row r="8" spans="1:13">
      <c r="A8" s="29" t="s">
        <v>505</v>
      </c>
      <c r="B8" s="28" t="s">
        <v>513</v>
      </c>
      <c r="C8" s="28" t="s">
        <v>507</v>
      </c>
      <c r="D8" s="28" t="str">
        <f>"0,6529"</f>
        <v>0,6529</v>
      </c>
      <c r="E8" s="29" t="s">
        <v>508</v>
      </c>
      <c r="F8" s="29" t="s">
        <v>406</v>
      </c>
      <c r="G8" s="30" t="s">
        <v>78</v>
      </c>
      <c r="H8" s="30" t="s">
        <v>78</v>
      </c>
      <c r="I8" s="28" t="s">
        <v>78</v>
      </c>
      <c r="J8" s="30"/>
      <c r="K8" s="29" t="str">
        <f>"185,0"</f>
        <v>185,0</v>
      </c>
      <c r="L8" s="28" t="str">
        <f>"153,1573"</f>
        <v>153,1573</v>
      </c>
      <c r="M8" s="29"/>
    </row>
    <row r="10" spans="1:13" ht="15">
      <c r="A10" s="47" t="s">
        <v>421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>
      <c r="A11" s="9" t="s">
        <v>515</v>
      </c>
      <c r="B11" s="10" t="s">
        <v>516</v>
      </c>
      <c r="C11" s="10" t="s">
        <v>517</v>
      </c>
      <c r="D11" s="10" t="str">
        <f>"0,5509"</f>
        <v>0,5509</v>
      </c>
      <c r="E11" s="9" t="s">
        <v>18</v>
      </c>
      <c r="F11" s="9" t="s">
        <v>395</v>
      </c>
      <c r="G11" s="10" t="s">
        <v>119</v>
      </c>
      <c r="H11" s="10" t="s">
        <v>85</v>
      </c>
      <c r="I11" s="11"/>
      <c r="J11" s="11"/>
      <c r="K11" s="9" t="str">
        <f>"220,0"</f>
        <v>220,0</v>
      </c>
      <c r="L11" s="10" t="str">
        <f>"121,2090"</f>
        <v>121,2090</v>
      </c>
      <c r="M11" s="9"/>
    </row>
    <row r="13" spans="1:13" ht="15">
      <c r="A13" s="47" t="s">
        <v>518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3">
      <c r="A14" s="9" t="s">
        <v>520</v>
      </c>
      <c r="B14" s="10" t="s">
        <v>521</v>
      </c>
      <c r="C14" s="10" t="s">
        <v>522</v>
      </c>
      <c r="D14" s="10" t="str">
        <f>"0,5329"</f>
        <v>0,5329</v>
      </c>
      <c r="E14" s="9" t="s">
        <v>523</v>
      </c>
      <c r="F14" s="9" t="s">
        <v>395</v>
      </c>
      <c r="G14" s="10" t="s">
        <v>524</v>
      </c>
      <c r="H14" s="10" t="s">
        <v>525</v>
      </c>
      <c r="I14" s="11" t="s">
        <v>526</v>
      </c>
      <c r="J14" s="11"/>
      <c r="K14" s="9" t="str">
        <f>"342,5"</f>
        <v>342,5</v>
      </c>
      <c r="L14" s="10" t="str">
        <f>"182,5080"</f>
        <v>182,5080</v>
      </c>
      <c r="M14" s="9"/>
    </row>
    <row r="16" spans="1:13" ht="15">
      <c r="E16" s="12" t="s">
        <v>64</v>
      </c>
    </row>
    <row r="17" spans="1:5" ht="15">
      <c r="E17" s="12" t="s">
        <v>65</v>
      </c>
    </row>
    <row r="18" spans="1:5" ht="15">
      <c r="E18" s="12" t="s">
        <v>66</v>
      </c>
    </row>
    <row r="19" spans="1:5">
      <c r="E19" s="4" t="s">
        <v>67</v>
      </c>
    </row>
    <row r="20" spans="1:5">
      <c r="E20" s="4" t="s">
        <v>68</v>
      </c>
    </row>
    <row r="21" spans="1:5">
      <c r="E21" s="4" t="s">
        <v>69</v>
      </c>
    </row>
    <row r="24" spans="1:5" ht="18">
      <c r="A24" s="13" t="s">
        <v>70</v>
      </c>
      <c r="B24" s="14"/>
    </row>
    <row r="25" spans="1:5" ht="15">
      <c r="A25" s="15" t="s">
        <v>213</v>
      </c>
      <c r="B25" s="16"/>
    </row>
    <row r="26" spans="1:5" ht="14.25">
      <c r="A26" s="18"/>
      <c r="B26" s="19" t="s">
        <v>72</v>
      </c>
    </row>
    <row r="27" spans="1:5" ht="15">
      <c r="A27" s="20" t="s">
        <v>0</v>
      </c>
      <c r="B27" s="20" t="s">
        <v>73</v>
      </c>
      <c r="C27" s="20" t="s">
        <v>74</v>
      </c>
      <c r="D27" s="20" t="s">
        <v>75</v>
      </c>
      <c r="E27" s="20" t="s">
        <v>11</v>
      </c>
    </row>
    <row r="28" spans="1:5">
      <c r="A28" s="17" t="s">
        <v>519</v>
      </c>
      <c r="B28" s="5" t="s">
        <v>76</v>
      </c>
      <c r="C28" s="5" t="s">
        <v>527</v>
      </c>
      <c r="D28" s="5" t="s">
        <v>525</v>
      </c>
      <c r="E28" s="21" t="s">
        <v>528</v>
      </c>
    </row>
    <row r="30" spans="1:5" ht="14.25">
      <c r="A30" s="18"/>
      <c r="B30" s="19" t="s">
        <v>80</v>
      </c>
    </row>
    <row r="31" spans="1:5" ht="15">
      <c r="A31" s="20" t="s">
        <v>0</v>
      </c>
      <c r="B31" s="20" t="s">
        <v>73</v>
      </c>
      <c r="C31" s="20" t="s">
        <v>74</v>
      </c>
      <c r="D31" s="20" t="s">
        <v>75</v>
      </c>
      <c r="E31" s="20" t="s">
        <v>11</v>
      </c>
    </row>
    <row r="32" spans="1:5">
      <c r="A32" s="17" t="s">
        <v>514</v>
      </c>
      <c r="B32" s="5" t="s">
        <v>80</v>
      </c>
      <c r="C32" s="5" t="s">
        <v>468</v>
      </c>
      <c r="D32" s="5" t="s">
        <v>85</v>
      </c>
      <c r="E32" s="21" t="s">
        <v>529</v>
      </c>
    </row>
    <row r="33" spans="1:5">
      <c r="A33" s="17" t="s">
        <v>504</v>
      </c>
      <c r="B33" s="5" t="s">
        <v>80</v>
      </c>
      <c r="C33" s="5" t="s">
        <v>455</v>
      </c>
      <c r="D33" s="5" t="s">
        <v>78</v>
      </c>
      <c r="E33" s="21" t="s">
        <v>530</v>
      </c>
    </row>
    <row r="34" spans="1:5">
      <c r="A34" s="17" t="s">
        <v>509</v>
      </c>
      <c r="B34" s="5" t="s">
        <v>80</v>
      </c>
      <c r="C34" s="5" t="s">
        <v>455</v>
      </c>
      <c r="D34" s="5" t="s">
        <v>263</v>
      </c>
      <c r="E34" s="21" t="s">
        <v>531</v>
      </c>
    </row>
    <row r="36" spans="1:5" ht="14.25">
      <c r="A36" s="18"/>
      <c r="B36" s="19" t="s">
        <v>206</v>
      </c>
    </row>
    <row r="37" spans="1:5" ht="15">
      <c r="A37" s="20" t="s">
        <v>0</v>
      </c>
      <c r="B37" s="20" t="s">
        <v>73</v>
      </c>
      <c r="C37" s="20" t="s">
        <v>74</v>
      </c>
      <c r="D37" s="20" t="s">
        <v>75</v>
      </c>
      <c r="E37" s="20" t="s">
        <v>11</v>
      </c>
    </row>
    <row r="38" spans="1:5">
      <c r="A38" s="17" t="s">
        <v>504</v>
      </c>
      <c r="B38" s="5" t="s">
        <v>480</v>
      </c>
      <c r="C38" s="5" t="s">
        <v>455</v>
      </c>
      <c r="D38" s="5" t="s">
        <v>78</v>
      </c>
      <c r="E38" s="21" t="s">
        <v>532</v>
      </c>
    </row>
  </sheetData>
  <mergeCells count="14"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0:L1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1696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3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144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501</v>
      </c>
      <c r="B6" s="10" t="s">
        <v>502</v>
      </c>
      <c r="C6" s="10" t="s">
        <v>160</v>
      </c>
      <c r="D6" s="10" t="str">
        <f>"0,6161"</f>
        <v>0,6161</v>
      </c>
      <c r="E6" s="9" t="s">
        <v>18</v>
      </c>
      <c r="F6" s="9" t="s">
        <v>95</v>
      </c>
      <c r="G6" s="10" t="s">
        <v>124</v>
      </c>
      <c r="H6" s="11" t="s">
        <v>117</v>
      </c>
      <c r="I6" s="11" t="s">
        <v>251</v>
      </c>
      <c r="J6" s="11"/>
      <c r="K6" s="9" t="str">
        <f>"160,0"</f>
        <v>160,0</v>
      </c>
      <c r="L6" s="10" t="str">
        <f>"98,5680"</f>
        <v>98,5680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E8" s="12" t="s">
        <v>64</v>
      </c>
    </row>
    <row r="9" spans="1:13" ht="15">
      <c r="E9" s="12" t="s">
        <v>65</v>
      </c>
    </row>
    <row r="10" spans="1:13" ht="15">
      <c r="E10" s="12" t="s">
        <v>66</v>
      </c>
    </row>
    <row r="11" spans="1:13">
      <c r="E11" s="4" t="s">
        <v>67</v>
      </c>
    </row>
    <row r="12" spans="1:13">
      <c r="E12" s="4" t="s">
        <v>68</v>
      </c>
    </row>
    <row r="13" spans="1:13">
      <c r="E13" s="4" t="s">
        <v>69</v>
      </c>
    </row>
    <row r="16" spans="1:13" ht="18">
      <c r="A16" s="13" t="s">
        <v>70</v>
      </c>
      <c r="B16" s="14"/>
    </row>
    <row r="17" spans="1:5" ht="15">
      <c r="A17" s="15" t="s">
        <v>213</v>
      </c>
      <c r="B17" s="16"/>
    </row>
    <row r="18" spans="1:5" ht="14.25">
      <c r="A18" s="18"/>
      <c r="B18" s="19" t="s">
        <v>80</v>
      </c>
    </row>
    <row r="19" spans="1:5" ht="15">
      <c r="A19" s="20" t="s">
        <v>0</v>
      </c>
      <c r="B19" s="20" t="s">
        <v>73</v>
      </c>
      <c r="C19" s="20" t="s">
        <v>74</v>
      </c>
      <c r="D19" s="20" t="s">
        <v>75</v>
      </c>
      <c r="E19" s="20" t="s">
        <v>11</v>
      </c>
    </row>
    <row r="20" spans="1:5">
      <c r="A20" s="17" t="s">
        <v>500</v>
      </c>
      <c r="B20" s="5" t="s">
        <v>80</v>
      </c>
      <c r="C20" s="5" t="s">
        <v>229</v>
      </c>
      <c r="D20" s="5" t="s">
        <v>124</v>
      </c>
      <c r="E20" s="21" t="s">
        <v>503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34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0.140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1695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3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284</v>
      </c>
      <c r="B6" s="10" t="s">
        <v>285</v>
      </c>
      <c r="C6" s="10" t="s">
        <v>286</v>
      </c>
      <c r="D6" s="10" t="str">
        <f>"1,1904"</f>
        <v>1,1904</v>
      </c>
      <c r="E6" s="9" t="s">
        <v>59</v>
      </c>
      <c r="F6" s="9" t="s">
        <v>60</v>
      </c>
      <c r="G6" s="10" t="s">
        <v>111</v>
      </c>
      <c r="H6" s="10" t="s">
        <v>287</v>
      </c>
      <c r="I6" s="11"/>
      <c r="J6" s="11"/>
      <c r="K6" s="9" t="str">
        <f>"47,5"</f>
        <v>47,5</v>
      </c>
      <c r="L6" s="10" t="str">
        <f>"56,5440"</f>
        <v>56,5440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288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9" t="s">
        <v>290</v>
      </c>
      <c r="B9" s="10" t="s">
        <v>291</v>
      </c>
      <c r="C9" s="10" t="s">
        <v>292</v>
      </c>
      <c r="D9" s="10" t="str">
        <f>"1,0530"</f>
        <v>1,0530</v>
      </c>
      <c r="E9" s="9" t="s">
        <v>18</v>
      </c>
      <c r="F9" s="9" t="s">
        <v>95</v>
      </c>
      <c r="G9" s="10" t="s">
        <v>293</v>
      </c>
      <c r="H9" s="10" t="s">
        <v>294</v>
      </c>
      <c r="I9" s="10" t="s">
        <v>62</v>
      </c>
      <c r="J9" s="11"/>
      <c r="K9" s="9" t="str">
        <f>"65,0"</f>
        <v>65,0</v>
      </c>
      <c r="L9" s="10" t="str">
        <f>"68,4450"</f>
        <v>68,4450</v>
      </c>
      <c r="M9" s="9"/>
    </row>
    <row r="11" spans="1:13" ht="15">
      <c r="A11" s="47" t="s">
        <v>27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9" t="s">
        <v>296</v>
      </c>
      <c r="B12" s="10" t="s">
        <v>297</v>
      </c>
      <c r="C12" s="10" t="s">
        <v>298</v>
      </c>
      <c r="D12" s="10" t="str">
        <f>"1,0380"</f>
        <v>1,0380</v>
      </c>
      <c r="E12" s="9" t="s">
        <v>18</v>
      </c>
      <c r="F12" s="9" t="s">
        <v>95</v>
      </c>
      <c r="G12" s="10" t="s">
        <v>105</v>
      </c>
      <c r="H12" s="10" t="s">
        <v>22</v>
      </c>
      <c r="I12" s="11"/>
      <c r="J12" s="11"/>
      <c r="K12" s="9" t="str">
        <f>"37,5"</f>
        <v>37,5</v>
      </c>
      <c r="L12" s="10" t="str">
        <f>"38,9250"</f>
        <v>38,9250</v>
      </c>
      <c r="M12" s="9"/>
    </row>
    <row r="14" spans="1:13" ht="15">
      <c r="A14" s="47" t="s">
        <v>54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spans="1:13">
      <c r="A15" s="9" t="s">
        <v>300</v>
      </c>
      <c r="B15" s="10" t="s">
        <v>301</v>
      </c>
      <c r="C15" s="10" t="s">
        <v>302</v>
      </c>
      <c r="D15" s="10" t="str">
        <f>"0,8421"</f>
        <v>0,8421</v>
      </c>
      <c r="E15" s="9" t="s">
        <v>18</v>
      </c>
      <c r="F15" s="9" t="s">
        <v>303</v>
      </c>
      <c r="G15" s="10" t="s">
        <v>63</v>
      </c>
      <c r="H15" s="10" t="s">
        <v>304</v>
      </c>
      <c r="I15" s="10" t="s">
        <v>190</v>
      </c>
      <c r="J15" s="11"/>
      <c r="K15" s="9" t="str">
        <f>"112,5"</f>
        <v>112,5</v>
      </c>
      <c r="L15" s="10" t="str">
        <f>"94,7419"</f>
        <v>94,7419</v>
      </c>
      <c r="M15" s="9"/>
    </row>
    <row r="17" spans="1:13" ht="15">
      <c r="A17" s="47" t="s">
        <v>305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3">
      <c r="A18" s="22" t="s">
        <v>307</v>
      </c>
      <c r="B18" s="23" t="s">
        <v>308</v>
      </c>
      <c r="C18" s="23" t="s">
        <v>309</v>
      </c>
      <c r="D18" s="23" t="str">
        <f>"0,7937"</f>
        <v>0,7937</v>
      </c>
      <c r="E18" s="22" t="s">
        <v>18</v>
      </c>
      <c r="F18" s="22" t="s">
        <v>310</v>
      </c>
      <c r="G18" s="23" t="s">
        <v>191</v>
      </c>
      <c r="H18" s="24" t="s">
        <v>32</v>
      </c>
      <c r="I18" s="24" t="s">
        <v>32</v>
      </c>
      <c r="J18" s="24"/>
      <c r="K18" s="22" t="str">
        <f>"117,5"</f>
        <v>117,5</v>
      </c>
      <c r="L18" s="23" t="str">
        <f>"93,2597"</f>
        <v>93,2597</v>
      </c>
      <c r="M18" s="22"/>
    </row>
    <row r="19" spans="1:13">
      <c r="A19" s="25" t="s">
        <v>311</v>
      </c>
      <c r="B19" s="26" t="s">
        <v>57</v>
      </c>
      <c r="C19" s="26" t="s">
        <v>312</v>
      </c>
      <c r="D19" s="26" t="str">
        <f>"0,8295"</f>
        <v>0,8295</v>
      </c>
      <c r="E19" s="25" t="s">
        <v>59</v>
      </c>
      <c r="F19" s="25" t="s">
        <v>60</v>
      </c>
      <c r="G19" s="27" t="s">
        <v>51</v>
      </c>
      <c r="H19" s="27"/>
      <c r="I19" s="27"/>
      <c r="J19" s="27"/>
      <c r="K19" s="25" t="str">
        <f>"0.00"</f>
        <v>0.00</v>
      </c>
      <c r="L19" s="26" t="str">
        <f>"0,0000"</f>
        <v>0,0000</v>
      </c>
      <c r="M19" s="25"/>
    </row>
    <row r="20" spans="1:13">
      <c r="A20" s="29" t="s">
        <v>314</v>
      </c>
      <c r="B20" s="28" t="s">
        <v>315</v>
      </c>
      <c r="C20" s="28" t="s">
        <v>316</v>
      </c>
      <c r="D20" s="28" t="str">
        <f>"0,8005"</f>
        <v>0,8005</v>
      </c>
      <c r="E20" s="29" t="s">
        <v>18</v>
      </c>
      <c r="F20" s="29" t="s">
        <v>95</v>
      </c>
      <c r="G20" s="28" t="s">
        <v>50</v>
      </c>
      <c r="H20" s="28" t="s">
        <v>105</v>
      </c>
      <c r="I20" s="28" t="s">
        <v>51</v>
      </c>
      <c r="J20" s="30"/>
      <c r="K20" s="29" t="str">
        <f>"35,0"</f>
        <v>35,0</v>
      </c>
      <c r="L20" s="28" t="str">
        <f>"29,5585"</f>
        <v>29,5585</v>
      </c>
      <c r="M20" s="29"/>
    </row>
    <row r="22" spans="1:13" ht="15">
      <c r="A22" s="47" t="s">
        <v>144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3">
      <c r="A23" s="22" t="s">
        <v>318</v>
      </c>
      <c r="B23" s="23" t="s">
        <v>319</v>
      </c>
      <c r="C23" s="23" t="s">
        <v>320</v>
      </c>
      <c r="D23" s="23" t="str">
        <f>"0,7580"</f>
        <v>0,7580</v>
      </c>
      <c r="E23" s="22" t="s">
        <v>18</v>
      </c>
      <c r="F23" s="22" t="s">
        <v>321</v>
      </c>
      <c r="G23" s="23" t="s">
        <v>322</v>
      </c>
      <c r="H23" s="23" t="s">
        <v>249</v>
      </c>
      <c r="I23" s="24" t="s">
        <v>323</v>
      </c>
      <c r="J23" s="24"/>
      <c r="K23" s="22" t="str">
        <f>"140,0"</f>
        <v>140,0</v>
      </c>
      <c r="L23" s="23" t="str">
        <f>"106,1130"</f>
        <v>106,1130</v>
      </c>
      <c r="M23" s="22"/>
    </row>
    <row r="24" spans="1:13">
      <c r="A24" s="29" t="s">
        <v>318</v>
      </c>
      <c r="B24" s="28" t="s">
        <v>324</v>
      </c>
      <c r="C24" s="28" t="s">
        <v>320</v>
      </c>
      <c r="D24" s="28" t="str">
        <f>"0,7580"</f>
        <v>0,7580</v>
      </c>
      <c r="E24" s="29" t="s">
        <v>18</v>
      </c>
      <c r="F24" s="29" t="s">
        <v>321</v>
      </c>
      <c r="G24" s="28" t="s">
        <v>322</v>
      </c>
      <c r="H24" s="28" t="s">
        <v>249</v>
      </c>
      <c r="I24" s="30" t="s">
        <v>323</v>
      </c>
      <c r="J24" s="30"/>
      <c r="K24" s="29" t="str">
        <f>"140,0"</f>
        <v>140,0</v>
      </c>
      <c r="L24" s="28" t="str">
        <f>"123,6216"</f>
        <v>123,6216</v>
      </c>
      <c r="M24" s="29"/>
    </row>
    <row r="26" spans="1:13" ht="15">
      <c r="A26" s="47" t="s">
        <v>54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3">
      <c r="A27" s="22" t="s">
        <v>326</v>
      </c>
      <c r="B27" s="23" t="s">
        <v>327</v>
      </c>
      <c r="C27" s="23" t="s">
        <v>328</v>
      </c>
      <c r="D27" s="23" t="str">
        <f>"0,7456"</f>
        <v>0,7456</v>
      </c>
      <c r="E27" s="22" t="s">
        <v>18</v>
      </c>
      <c r="F27" s="22" t="s">
        <v>329</v>
      </c>
      <c r="G27" s="23" t="s">
        <v>61</v>
      </c>
      <c r="H27" s="23" t="s">
        <v>62</v>
      </c>
      <c r="I27" s="24" t="s">
        <v>103</v>
      </c>
      <c r="J27" s="24"/>
      <c r="K27" s="22" t="str">
        <f>"65,0"</f>
        <v>65,0</v>
      </c>
      <c r="L27" s="23" t="str">
        <f>"48,4672"</f>
        <v>48,4672</v>
      </c>
      <c r="M27" s="22"/>
    </row>
    <row r="28" spans="1:13">
      <c r="A28" s="25" t="s">
        <v>331</v>
      </c>
      <c r="B28" s="26" t="s">
        <v>332</v>
      </c>
      <c r="C28" s="26" t="s">
        <v>302</v>
      </c>
      <c r="D28" s="26" t="str">
        <f>"0,6940"</f>
        <v>0,6940</v>
      </c>
      <c r="E28" s="25" t="s">
        <v>18</v>
      </c>
      <c r="F28" s="25" t="s">
        <v>95</v>
      </c>
      <c r="G28" s="26" t="s">
        <v>249</v>
      </c>
      <c r="H28" s="26" t="s">
        <v>136</v>
      </c>
      <c r="I28" s="26" t="s">
        <v>170</v>
      </c>
      <c r="J28" s="27"/>
      <c r="K28" s="25" t="str">
        <f>"155,0"</f>
        <v>155,0</v>
      </c>
      <c r="L28" s="26" t="str">
        <f>"107,5700"</f>
        <v>107,5700</v>
      </c>
      <c r="M28" s="25"/>
    </row>
    <row r="29" spans="1:13">
      <c r="A29" s="25" t="s">
        <v>334</v>
      </c>
      <c r="B29" s="26" t="s">
        <v>335</v>
      </c>
      <c r="C29" s="26" t="s">
        <v>336</v>
      </c>
      <c r="D29" s="26" t="str">
        <f>"0,6927"</f>
        <v>0,6927</v>
      </c>
      <c r="E29" s="25" t="s">
        <v>18</v>
      </c>
      <c r="F29" s="25" t="s">
        <v>95</v>
      </c>
      <c r="G29" s="26" t="s">
        <v>62</v>
      </c>
      <c r="H29" s="26" t="s">
        <v>103</v>
      </c>
      <c r="I29" s="26" t="s">
        <v>337</v>
      </c>
      <c r="J29" s="27"/>
      <c r="K29" s="25" t="str">
        <f>"72,5"</f>
        <v>72,5</v>
      </c>
      <c r="L29" s="26" t="str">
        <f>"50,2171"</f>
        <v>50,2171</v>
      </c>
      <c r="M29" s="25"/>
    </row>
    <row r="30" spans="1:13">
      <c r="A30" s="25" t="s">
        <v>339</v>
      </c>
      <c r="B30" s="26" t="s">
        <v>340</v>
      </c>
      <c r="C30" s="26" t="s">
        <v>140</v>
      </c>
      <c r="D30" s="26" t="str">
        <f>"0,6920"</f>
        <v>0,6920</v>
      </c>
      <c r="E30" s="25" t="s">
        <v>341</v>
      </c>
      <c r="F30" s="25" t="s">
        <v>95</v>
      </c>
      <c r="G30" s="26" t="s">
        <v>63</v>
      </c>
      <c r="H30" s="27" t="s">
        <v>25</v>
      </c>
      <c r="I30" s="26" t="s">
        <v>25</v>
      </c>
      <c r="J30" s="27"/>
      <c r="K30" s="25" t="str">
        <f>"105,0"</f>
        <v>105,0</v>
      </c>
      <c r="L30" s="26" t="str">
        <f>"73,3813"</f>
        <v>73,3813</v>
      </c>
      <c r="M30" s="25"/>
    </row>
    <row r="31" spans="1:13">
      <c r="A31" s="29" t="s">
        <v>343</v>
      </c>
      <c r="B31" s="28" t="s">
        <v>344</v>
      </c>
      <c r="C31" s="28" t="s">
        <v>58</v>
      </c>
      <c r="D31" s="28" t="str">
        <f>"0,6885"</f>
        <v>0,6885</v>
      </c>
      <c r="E31" s="29" t="s">
        <v>18</v>
      </c>
      <c r="F31" s="29" t="s">
        <v>345</v>
      </c>
      <c r="G31" s="28" t="s">
        <v>32</v>
      </c>
      <c r="H31" s="28" t="s">
        <v>33</v>
      </c>
      <c r="I31" s="28" t="s">
        <v>199</v>
      </c>
      <c r="J31" s="30"/>
      <c r="K31" s="29" t="str">
        <f>"132,5"</f>
        <v>132,5</v>
      </c>
      <c r="L31" s="28" t="str">
        <f>"100,0825"</f>
        <v>100,0825</v>
      </c>
      <c r="M31" s="29"/>
    </row>
    <row r="33" spans="1:13" ht="15">
      <c r="A33" s="47" t="s">
        <v>305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3">
      <c r="A34" s="9" t="s">
        <v>347</v>
      </c>
      <c r="B34" s="10" t="s">
        <v>348</v>
      </c>
      <c r="C34" s="10" t="s">
        <v>349</v>
      </c>
      <c r="D34" s="10" t="str">
        <f>"0,6492"</f>
        <v>0,6492</v>
      </c>
      <c r="E34" s="9" t="s">
        <v>18</v>
      </c>
      <c r="F34" s="9" t="s">
        <v>350</v>
      </c>
      <c r="G34" s="10" t="s">
        <v>136</v>
      </c>
      <c r="H34" s="10" t="s">
        <v>124</v>
      </c>
      <c r="I34" s="11"/>
      <c r="J34" s="11"/>
      <c r="K34" s="9" t="str">
        <f>"160,0"</f>
        <v>160,0</v>
      </c>
      <c r="L34" s="10" t="str">
        <f>"109,5934"</f>
        <v>109,5934</v>
      </c>
      <c r="M34" s="9"/>
    </row>
    <row r="36" spans="1:13" ht="15">
      <c r="A36" s="47" t="s">
        <v>144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3">
      <c r="A37" s="22" t="s">
        <v>352</v>
      </c>
      <c r="B37" s="23" t="s">
        <v>353</v>
      </c>
      <c r="C37" s="23" t="s">
        <v>354</v>
      </c>
      <c r="D37" s="23" t="str">
        <f>"0,6119"</f>
        <v>0,6119</v>
      </c>
      <c r="E37" s="22" t="s">
        <v>18</v>
      </c>
      <c r="F37" s="22" t="s">
        <v>95</v>
      </c>
      <c r="G37" s="23" t="s">
        <v>88</v>
      </c>
      <c r="H37" s="23" t="s">
        <v>355</v>
      </c>
      <c r="I37" s="23" t="s">
        <v>208</v>
      </c>
      <c r="J37" s="24"/>
      <c r="K37" s="22" t="str">
        <f>"212,5"</f>
        <v>212,5</v>
      </c>
      <c r="L37" s="23" t="str">
        <f>"130,0181"</f>
        <v>130,0181</v>
      </c>
      <c r="M37" s="22"/>
    </row>
    <row r="38" spans="1:13">
      <c r="A38" s="25" t="s">
        <v>357</v>
      </c>
      <c r="B38" s="26" t="s">
        <v>358</v>
      </c>
      <c r="C38" s="26" t="s">
        <v>359</v>
      </c>
      <c r="D38" s="26" t="str">
        <f>"0,6192"</f>
        <v>0,6192</v>
      </c>
      <c r="E38" s="25" t="s">
        <v>18</v>
      </c>
      <c r="F38" s="25" t="s">
        <v>360</v>
      </c>
      <c r="G38" s="26" t="s">
        <v>118</v>
      </c>
      <c r="H38" s="26" t="s">
        <v>149</v>
      </c>
      <c r="I38" s="27" t="s">
        <v>88</v>
      </c>
      <c r="J38" s="27"/>
      <c r="K38" s="25" t="str">
        <f>"190,0"</f>
        <v>190,0</v>
      </c>
      <c r="L38" s="26" t="str">
        <f>"117,6575"</f>
        <v>117,6575</v>
      </c>
      <c r="M38" s="25"/>
    </row>
    <row r="39" spans="1:13">
      <c r="A39" s="25" t="s">
        <v>158</v>
      </c>
      <c r="B39" s="26" t="s">
        <v>159</v>
      </c>
      <c r="C39" s="26" t="s">
        <v>361</v>
      </c>
      <c r="D39" s="26" t="str">
        <f>"0,6145"</f>
        <v>0,6145</v>
      </c>
      <c r="E39" s="25" t="s">
        <v>59</v>
      </c>
      <c r="F39" s="25" t="s">
        <v>60</v>
      </c>
      <c r="G39" s="26" t="s">
        <v>24</v>
      </c>
      <c r="H39" s="26" t="s">
        <v>63</v>
      </c>
      <c r="I39" s="27"/>
      <c r="J39" s="27"/>
      <c r="K39" s="25" t="str">
        <f>"100,0"</f>
        <v>100,0</v>
      </c>
      <c r="L39" s="26" t="str">
        <f>"62,6841"</f>
        <v>62,6841</v>
      </c>
      <c r="M39" s="25"/>
    </row>
    <row r="40" spans="1:13">
      <c r="A40" s="25" t="s">
        <v>363</v>
      </c>
      <c r="B40" s="26" t="s">
        <v>364</v>
      </c>
      <c r="C40" s="26" t="s">
        <v>365</v>
      </c>
      <c r="D40" s="26" t="str">
        <f>"0,6273"</f>
        <v>0,6273</v>
      </c>
      <c r="E40" s="25" t="s">
        <v>18</v>
      </c>
      <c r="F40" s="25" t="s">
        <v>329</v>
      </c>
      <c r="G40" s="26" t="s">
        <v>33</v>
      </c>
      <c r="H40" s="27" t="s">
        <v>142</v>
      </c>
      <c r="I40" s="26" t="s">
        <v>366</v>
      </c>
      <c r="J40" s="27"/>
      <c r="K40" s="25" t="str">
        <f>"137,5"</f>
        <v>137,5</v>
      </c>
      <c r="L40" s="26" t="str">
        <f>"105,6524"</f>
        <v>105,6524</v>
      </c>
      <c r="M40" s="25"/>
    </row>
    <row r="41" spans="1:13">
      <c r="A41" s="25" t="s">
        <v>368</v>
      </c>
      <c r="B41" s="26" t="s">
        <v>369</v>
      </c>
      <c r="C41" s="26" t="s">
        <v>370</v>
      </c>
      <c r="D41" s="26" t="str">
        <f>"0,6313"</f>
        <v>0,6313</v>
      </c>
      <c r="E41" s="25" t="s">
        <v>18</v>
      </c>
      <c r="F41" s="25" t="s">
        <v>371</v>
      </c>
      <c r="G41" s="26" t="s">
        <v>32</v>
      </c>
      <c r="H41" s="27" t="s">
        <v>199</v>
      </c>
      <c r="I41" s="26" t="s">
        <v>199</v>
      </c>
      <c r="J41" s="27"/>
      <c r="K41" s="25" t="str">
        <f>"132,5"</f>
        <v>132,5</v>
      </c>
      <c r="L41" s="26" t="str">
        <f>"114,2531"</f>
        <v>114,2531</v>
      </c>
      <c r="M41" s="25"/>
    </row>
    <row r="42" spans="1:13">
      <c r="A42" s="29" t="s">
        <v>373</v>
      </c>
      <c r="B42" s="28" t="s">
        <v>374</v>
      </c>
      <c r="C42" s="28" t="s">
        <v>365</v>
      </c>
      <c r="D42" s="28" t="str">
        <f>"0,6273"</f>
        <v>0,6273</v>
      </c>
      <c r="E42" s="29" t="s">
        <v>18</v>
      </c>
      <c r="F42" s="29" t="s">
        <v>375</v>
      </c>
      <c r="G42" s="28" t="s">
        <v>26</v>
      </c>
      <c r="H42" s="28" t="s">
        <v>125</v>
      </c>
      <c r="I42" s="28" t="s">
        <v>126</v>
      </c>
      <c r="J42" s="30"/>
      <c r="K42" s="29" t="str">
        <f>"120,0"</f>
        <v>120,0</v>
      </c>
      <c r="L42" s="28" t="str">
        <f>"132,1741"</f>
        <v>132,1741</v>
      </c>
      <c r="M42" s="29"/>
    </row>
    <row r="44" spans="1:13" ht="15">
      <c r="A44" s="47" t="s">
        <v>161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3">
      <c r="A45" s="22" t="s">
        <v>377</v>
      </c>
      <c r="B45" s="23" t="s">
        <v>378</v>
      </c>
      <c r="C45" s="23" t="s">
        <v>379</v>
      </c>
      <c r="D45" s="23" t="str">
        <f>"0,5882"</f>
        <v>0,5882</v>
      </c>
      <c r="E45" s="22" t="s">
        <v>18</v>
      </c>
      <c r="F45" s="22" t="s">
        <v>19</v>
      </c>
      <c r="G45" s="23" t="s">
        <v>118</v>
      </c>
      <c r="H45" s="24" t="s">
        <v>149</v>
      </c>
      <c r="I45" s="24" t="s">
        <v>149</v>
      </c>
      <c r="J45" s="24"/>
      <c r="K45" s="22" t="str">
        <f>"180,0"</f>
        <v>180,0</v>
      </c>
      <c r="L45" s="23" t="str">
        <f>"105,8850"</f>
        <v>105,8850</v>
      </c>
      <c r="M45" s="22"/>
    </row>
    <row r="46" spans="1:13">
      <c r="A46" s="25" t="s">
        <v>174</v>
      </c>
      <c r="B46" s="26" t="s">
        <v>175</v>
      </c>
      <c r="C46" s="26" t="s">
        <v>380</v>
      </c>
      <c r="D46" s="26" t="str">
        <f>"0,5935"</f>
        <v>0,5935</v>
      </c>
      <c r="E46" s="25" t="s">
        <v>18</v>
      </c>
      <c r="F46" s="25" t="s">
        <v>177</v>
      </c>
      <c r="G46" s="26" t="s">
        <v>124</v>
      </c>
      <c r="H46" s="26" t="s">
        <v>117</v>
      </c>
      <c r="I46" s="27" t="s">
        <v>118</v>
      </c>
      <c r="J46" s="27"/>
      <c r="K46" s="25" t="str">
        <f>"170,0"</f>
        <v>170,0</v>
      </c>
      <c r="L46" s="26" t="str">
        <f>"100,8865"</f>
        <v>100,8865</v>
      </c>
      <c r="M46" s="25"/>
    </row>
    <row r="47" spans="1:13">
      <c r="A47" s="25" t="s">
        <v>382</v>
      </c>
      <c r="B47" s="26" t="s">
        <v>383</v>
      </c>
      <c r="C47" s="26" t="s">
        <v>380</v>
      </c>
      <c r="D47" s="26" t="str">
        <f>"0,5935"</f>
        <v>0,5935</v>
      </c>
      <c r="E47" s="25" t="s">
        <v>18</v>
      </c>
      <c r="F47" s="25" t="s">
        <v>329</v>
      </c>
      <c r="G47" s="26" t="s">
        <v>117</v>
      </c>
      <c r="H47" s="26" t="s">
        <v>118</v>
      </c>
      <c r="I47" s="27" t="s">
        <v>149</v>
      </c>
      <c r="J47" s="27"/>
      <c r="K47" s="25" t="str">
        <f>"180,0"</f>
        <v>180,0</v>
      </c>
      <c r="L47" s="26" t="str">
        <f>"140,4696"</f>
        <v>140,4696</v>
      </c>
      <c r="M47" s="25"/>
    </row>
    <row r="48" spans="1:13">
      <c r="A48" s="29" t="s">
        <v>385</v>
      </c>
      <c r="B48" s="28" t="s">
        <v>386</v>
      </c>
      <c r="C48" s="28" t="s">
        <v>387</v>
      </c>
      <c r="D48" s="28" t="str">
        <f>"0,5902"</f>
        <v>0,5902</v>
      </c>
      <c r="E48" s="29" t="s">
        <v>18</v>
      </c>
      <c r="F48" s="29" t="s">
        <v>95</v>
      </c>
      <c r="G48" s="28" t="s">
        <v>63</v>
      </c>
      <c r="H48" s="28" t="s">
        <v>25</v>
      </c>
      <c r="I48" s="30"/>
      <c r="J48" s="30"/>
      <c r="K48" s="29" t="str">
        <f>"105,0"</f>
        <v>105,0</v>
      </c>
      <c r="L48" s="28" t="str">
        <f>"61,9710"</f>
        <v>61,9710</v>
      </c>
      <c r="M48" s="29"/>
    </row>
    <row r="50" spans="1:13" ht="15">
      <c r="A50" s="47" t="s">
        <v>184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3">
      <c r="A51" s="22" t="s">
        <v>389</v>
      </c>
      <c r="B51" s="23" t="s">
        <v>390</v>
      </c>
      <c r="C51" s="23" t="s">
        <v>204</v>
      </c>
      <c r="D51" s="23" t="str">
        <f>"0,5661"</f>
        <v>0,5661</v>
      </c>
      <c r="E51" s="22" t="s">
        <v>18</v>
      </c>
      <c r="F51" s="22" t="s">
        <v>95</v>
      </c>
      <c r="G51" s="23" t="s">
        <v>103</v>
      </c>
      <c r="H51" s="23" t="s">
        <v>21</v>
      </c>
      <c r="I51" s="24" t="s">
        <v>52</v>
      </c>
      <c r="J51" s="24"/>
      <c r="K51" s="22" t="str">
        <f>"80,0"</f>
        <v>80,0</v>
      </c>
      <c r="L51" s="23" t="str">
        <f>"45,2880"</f>
        <v>45,2880</v>
      </c>
      <c r="M51" s="22"/>
    </row>
    <row r="52" spans="1:13">
      <c r="A52" s="25" t="s">
        <v>392</v>
      </c>
      <c r="B52" s="26" t="s">
        <v>393</v>
      </c>
      <c r="C52" s="26" t="s">
        <v>394</v>
      </c>
      <c r="D52" s="26" t="str">
        <f>"0,5701"</f>
        <v>0,5701</v>
      </c>
      <c r="E52" s="25" t="s">
        <v>18</v>
      </c>
      <c r="F52" s="25" t="s">
        <v>395</v>
      </c>
      <c r="G52" s="26" t="s">
        <v>78</v>
      </c>
      <c r="H52" s="26" t="s">
        <v>156</v>
      </c>
      <c r="I52" s="27" t="s">
        <v>119</v>
      </c>
      <c r="J52" s="27"/>
      <c r="K52" s="25" t="str">
        <f>"195,0"</f>
        <v>195,0</v>
      </c>
      <c r="L52" s="26" t="str">
        <f>"111,1695"</f>
        <v>111,1695</v>
      </c>
      <c r="M52" s="25"/>
    </row>
    <row r="53" spans="1:13">
      <c r="A53" s="25" t="s">
        <v>397</v>
      </c>
      <c r="B53" s="26" t="s">
        <v>398</v>
      </c>
      <c r="C53" s="26" t="s">
        <v>399</v>
      </c>
      <c r="D53" s="26" t="str">
        <f>"0,5655"</f>
        <v>0,5655</v>
      </c>
      <c r="E53" s="25" t="s">
        <v>18</v>
      </c>
      <c r="F53" s="25" t="s">
        <v>400</v>
      </c>
      <c r="G53" s="26" t="s">
        <v>143</v>
      </c>
      <c r="H53" s="26" t="s">
        <v>401</v>
      </c>
      <c r="I53" s="26" t="s">
        <v>141</v>
      </c>
      <c r="J53" s="27"/>
      <c r="K53" s="25" t="str">
        <f>"240,0"</f>
        <v>240,0</v>
      </c>
      <c r="L53" s="26" t="str">
        <f>"135,7200"</f>
        <v>135,7200</v>
      </c>
      <c r="M53" s="25"/>
    </row>
    <row r="54" spans="1:13">
      <c r="A54" s="25" t="s">
        <v>403</v>
      </c>
      <c r="B54" s="26" t="s">
        <v>404</v>
      </c>
      <c r="C54" s="26" t="s">
        <v>405</v>
      </c>
      <c r="D54" s="26" t="str">
        <f>"0,5625"</f>
        <v>0,5625</v>
      </c>
      <c r="E54" s="25" t="s">
        <v>18</v>
      </c>
      <c r="F54" s="25" t="s">
        <v>406</v>
      </c>
      <c r="G54" s="26" t="s">
        <v>150</v>
      </c>
      <c r="H54" s="26" t="s">
        <v>85</v>
      </c>
      <c r="I54" s="27" t="s">
        <v>143</v>
      </c>
      <c r="J54" s="27"/>
      <c r="K54" s="25" t="str">
        <f>"220,0"</f>
        <v>220,0</v>
      </c>
      <c r="L54" s="26" t="str">
        <f>"123,7500"</f>
        <v>123,7500</v>
      </c>
      <c r="M54" s="25"/>
    </row>
    <row r="55" spans="1:13">
      <c r="A55" s="25" t="s">
        <v>408</v>
      </c>
      <c r="B55" s="26" t="s">
        <v>409</v>
      </c>
      <c r="C55" s="26" t="s">
        <v>410</v>
      </c>
      <c r="D55" s="26" t="str">
        <f>"0,5627"</f>
        <v>0,5627</v>
      </c>
      <c r="E55" s="25" t="s">
        <v>18</v>
      </c>
      <c r="F55" s="25" t="s">
        <v>19</v>
      </c>
      <c r="G55" s="26" t="s">
        <v>156</v>
      </c>
      <c r="H55" s="27" t="s">
        <v>119</v>
      </c>
      <c r="I55" s="26" t="s">
        <v>119</v>
      </c>
      <c r="J55" s="27"/>
      <c r="K55" s="25" t="str">
        <f>"200,0"</f>
        <v>200,0</v>
      </c>
      <c r="L55" s="26" t="str">
        <f>"114,8010"</f>
        <v>114,8010</v>
      </c>
      <c r="M55" s="25"/>
    </row>
    <row r="56" spans="1:13">
      <c r="A56" s="25" t="s">
        <v>412</v>
      </c>
      <c r="B56" s="26" t="s">
        <v>413</v>
      </c>
      <c r="C56" s="26" t="s">
        <v>414</v>
      </c>
      <c r="D56" s="26" t="str">
        <f>"0,5673"</f>
        <v>0,5673</v>
      </c>
      <c r="E56" s="25" t="s">
        <v>18</v>
      </c>
      <c r="F56" s="25" t="s">
        <v>415</v>
      </c>
      <c r="G56" s="26" t="s">
        <v>416</v>
      </c>
      <c r="H56" s="26" t="s">
        <v>118</v>
      </c>
      <c r="I56" s="27" t="s">
        <v>78</v>
      </c>
      <c r="J56" s="27"/>
      <c r="K56" s="25" t="str">
        <f>"180,0"</f>
        <v>180,0</v>
      </c>
      <c r="L56" s="26" t="str">
        <f>"105,2795"</f>
        <v>105,2795</v>
      </c>
      <c r="M56" s="25"/>
    </row>
    <row r="57" spans="1:13">
      <c r="A57" s="29" t="s">
        <v>418</v>
      </c>
      <c r="B57" s="28" t="s">
        <v>419</v>
      </c>
      <c r="C57" s="28" t="s">
        <v>420</v>
      </c>
      <c r="D57" s="28" t="str">
        <f>"0,5658"</f>
        <v>0,5658</v>
      </c>
      <c r="E57" s="29" t="s">
        <v>18</v>
      </c>
      <c r="F57" s="29" t="s">
        <v>329</v>
      </c>
      <c r="G57" s="30" t="s">
        <v>52</v>
      </c>
      <c r="H57" s="28" t="s">
        <v>52</v>
      </c>
      <c r="I57" s="28" t="s">
        <v>24</v>
      </c>
      <c r="J57" s="30"/>
      <c r="K57" s="29" t="str">
        <f>"95,0"</f>
        <v>95,0</v>
      </c>
      <c r="L57" s="28" t="str">
        <f>"66,9737"</f>
        <v>66,9737</v>
      </c>
      <c r="M57" s="29"/>
    </row>
    <row r="59" spans="1:13" ht="15">
      <c r="A59" s="47" t="s">
        <v>421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1:13">
      <c r="A60" s="22" t="s">
        <v>423</v>
      </c>
      <c r="B60" s="23" t="s">
        <v>424</v>
      </c>
      <c r="C60" s="23" t="s">
        <v>425</v>
      </c>
      <c r="D60" s="23" t="str">
        <f>"0,5526"</f>
        <v>0,5526</v>
      </c>
      <c r="E60" s="22" t="s">
        <v>18</v>
      </c>
      <c r="F60" s="22" t="s">
        <v>426</v>
      </c>
      <c r="G60" s="23" t="s">
        <v>143</v>
      </c>
      <c r="H60" s="23" t="s">
        <v>427</v>
      </c>
      <c r="I60" s="23" t="s">
        <v>428</v>
      </c>
      <c r="J60" s="24"/>
      <c r="K60" s="22" t="str">
        <f>"242,5"</f>
        <v>242,5</v>
      </c>
      <c r="L60" s="23" t="str">
        <f>"134,0055"</f>
        <v>134,0055</v>
      </c>
      <c r="M60" s="22"/>
    </row>
    <row r="61" spans="1:13">
      <c r="A61" s="25" t="s">
        <v>430</v>
      </c>
      <c r="B61" s="26" t="s">
        <v>431</v>
      </c>
      <c r="C61" s="26" t="s">
        <v>432</v>
      </c>
      <c r="D61" s="26" t="str">
        <f>"0,5504"</f>
        <v>0,5504</v>
      </c>
      <c r="E61" s="25" t="s">
        <v>433</v>
      </c>
      <c r="F61" s="25" t="s">
        <v>95</v>
      </c>
      <c r="G61" s="26" t="s">
        <v>119</v>
      </c>
      <c r="H61" s="26" t="s">
        <v>355</v>
      </c>
      <c r="I61" s="27" t="s">
        <v>150</v>
      </c>
      <c r="J61" s="27"/>
      <c r="K61" s="25" t="str">
        <f>"207,5"</f>
        <v>207,5</v>
      </c>
      <c r="L61" s="26" t="str">
        <f>"114,1976"</f>
        <v>114,1976</v>
      </c>
      <c r="M61" s="25"/>
    </row>
    <row r="62" spans="1:13">
      <c r="A62" s="25" t="s">
        <v>435</v>
      </c>
      <c r="B62" s="26" t="s">
        <v>436</v>
      </c>
      <c r="C62" s="26" t="s">
        <v>437</v>
      </c>
      <c r="D62" s="26" t="str">
        <f>"0,5454"</f>
        <v>0,5454</v>
      </c>
      <c r="E62" s="25" t="s">
        <v>18</v>
      </c>
      <c r="F62" s="25" t="s">
        <v>438</v>
      </c>
      <c r="G62" s="26" t="s">
        <v>78</v>
      </c>
      <c r="H62" s="27" t="s">
        <v>156</v>
      </c>
      <c r="I62" s="26" t="s">
        <v>156</v>
      </c>
      <c r="J62" s="27"/>
      <c r="K62" s="25" t="str">
        <f>"195,0"</f>
        <v>195,0</v>
      </c>
      <c r="L62" s="26" t="str">
        <f>"113,5850"</f>
        <v>113,5850</v>
      </c>
      <c r="M62" s="25"/>
    </row>
    <row r="63" spans="1:13">
      <c r="A63" s="25" t="s">
        <v>440</v>
      </c>
      <c r="B63" s="26" t="s">
        <v>441</v>
      </c>
      <c r="C63" s="26" t="s">
        <v>442</v>
      </c>
      <c r="D63" s="26" t="str">
        <f>"0,5496"</f>
        <v>0,5496</v>
      </c>
      <c r="E63" s="25" t="s">
        <v>18</v>
      </c>
      <c r="F63" s="25" t="s">
        <v>329</v>
      </c>
      <c r="G63" s="26" t="s">
        <v>32</v>
      </c>
      <c r="H63" s="27" t="s">
        <v>33</v>
      </c>
      <c r="I63" s="26" t="s">
        <v>33</v>
      </c>
      <c r="J63" s="27"/>
      <c r="K63" s="25" t="str">
        <f>"130,0"</f>
        <v>130,0</v>
      </c>
      <c r="L63" s="26" t="str">
        <f>"79,5216"</f>
        <v>79,5216</v>
      </c>
      <c r="M63" s="25"/>
    </row>
    <row r="64" spans="1:13">
      <c r="A64" s="29" t="s">
        <v>444</v>
      </c>
      <c r="B64" s="28" t="s">
        <v>445</v>
      </c>
      <c r="C64" s="28" t="s">
        <v>446</v>
      </c>
      <c r="D64" s="28" t="str">
        <f>"0,5571"</f>
        <v>0,5571</v>
      </c>
      <c r="E64" s="29" t="s">
        <v>18</v>
      </c>
      <c r="F64" s="29" t="s">
        <v>447</v>
      </c>
      <c r="G64" s="28" t="s">
        <v>142</v>
      </c>
      <c r="H64" s="28" t="s">
        <v>249</v>
      </c>
      <c r="I64" s="28" t="s">
        <v>169</v>
      </c>
      <c r="J64" s="30"/>
      <c r="K64" s="29" t="str">
        <f>"145,0"</f>
        <v>145,0</v>
      </c>
      <c r="L64" s="28" t="str">
        <f>"119,5537"</f>
        <v>119,5537</v>
      </c>
      <c r="M64" s="29"/>
    </row>
    <row r="66" spans="1:13" ht="15">
      <c r="A66" s="47" t="s">
        <v>448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3">
      <c r="A67" s="9" t="s">
        <v>450</v>
      </c>
      <c r="B67" s="10" t="s">
        <v>451</v>
      </c>
      <c r="C67" s="10" t="s">
        <v>452</v>
      </c>
      <c r="D67" s="10" t="str">
        <f>"0,5258"</f>
        <v>0,5258</v>
      </c>
      <c r="E67" s="9" t="s">
        <v>433</v>
      </c>
      <c r="F67" s="9" t="s">
        <v>95</v>
      </c>
      <c r="G67" s="11" t="s">
        <v>119</v>
      </c>
      <c r="H67" s="10" t="s">
        <v>150</v>
      </c>
      <c r="I67" s="10" t="s">
        <v>85</v>
      </c>
      <c r="J67" s="11"/>
      <c r="K67" s="9" t="str">
        <f>"220,0"</f>
        <v>220,0</v>
      </c>
      <c r="L67" s="10" t="str">
        <f>"115,6705"</f>
        <v>115,6705</v>
      </c>
      <c r="M67" s="9"/>
    </row>
    <row r="69" spans="1:13" ht="15">
      <c r="E69" s="12" t="s">
        <v>64</v>
      </c>
    </row>
    <row r="70" spans="1:13" ht="15">
      <c r="E70" s="12" t="s">
        <v>65</v>
      </c>
    </row>
    <row r="71" spans="1:13" ht="15">
      <c r="E71" s="12" t="s">
        <v>66</v>
      </c>
    </row>
    <row r="72" spans="1:13">
      <c r="E72" s="4" t="s">
        <v>67</v>
      </c>
    </row>
    <row r="73" spans="1:13">
      <c r="E73" s="4" t="s">
        <v>68</v>
      </c>
    </row>
    <row r="74" spans="1:13">
      <c r="E74" s="4" t="s">
        <v>69</v>
      </c>
    </row>
    <row r="77" spans="1:13" ht="18">
      <c r="A77" s="13" t="s">
        <v>70</v>
      </c>
      <c r="B77" s="14"/>
    </row>
    <row r="78" spans="1:13" ht="15">
      <c r="A78" s="15" t="s">
        <v>71</v>
      </c>
      <c r="B78" s="16"/>
    </row>
    <row r="79" spans="1:13" ht="14.25">
      <c r="A79" s="18"/>
      <c r="B79" s="19" t="s">
        <v>80</v>
      </c>
    </row>
    <row r="80" spans="1:13" ht="15">
      <c r="A80" s="20" t="s">
        <v>0</v>
      </c>
      <c r="B80" s="20" t="s">
        <v>73</v>
      </c>
      <c r="C80" s="20" t="s">
        <v>74</v>
      </c>
      <c r="D80" s="20" t="s">
        <v>75</v>
      </c>
      <c r="E80" s="20" t="s">
        <v>11</v>
      </c>
    </row>
    <row r="81" spans="1:5">
      <c r="A81" s="17" t="s">
        <v>317</v>
      </c>
      <c r="B81" s="5" t="s">
        <v>80</v>
      </c>
      <c r="C81" s="5" t="s">
        <v>229</v>
      </c>
      <c r="D81" s="5" t="s">
        <v>249</v>
      </c>
      <c r="E81" s="21" t="s">
        <v>453</v>
      </c>
    </row>
    <row r="82" spans="1:5">
      <c r="A82" s="17" t="s">
        <v>299</v>
      </c>
      <c r="B82" s="5" t="s">
        <v>80</v>
      </c>
      <c r="C82" s="5" t="s">
        <v>87</v>
      </c>
      <c r="D82" s="5" t="s">
        <v>190</v>
      </c>
      <c r="E82" s="21" t="s">
        <v>454</v>
      </c>
    </row>
    <row r="83" spans="1:5">
      <c r="A83" s="17" t="s">
        <v>306</v>
      </c>
      <c r="B83" s="5" t="s">
        <v>80</v>
      </c>
      <c r="C83" s="5" t="s">
        <v>455</v>
      </c>
      <c r="D83" s="5" t="s">
        <v>191</v>
      </c>
      <c r="E83" s="21" t="s">
        <v>456</v>
      </c>
    </row>
    <row r="84" spans="1:5">
      <c r="A84" s="17" t="s">
        <v>289</v>
      </c>
      <c r="B84" s="5" t="s">
        <v>80</v>
      </c>
      <c r="C84" s="5" t="s">
        <v>457</v>
      </c>
      <c r="D84" s="5" t="s">
        <v>62</v>
      </c>
      <c r="E84" s="21" t="s">
        <v>458</v>
      </c>
    </row>
    <row r="85" spans="1:5">
      <c r="A85" s="17" t="s">
        <v>283</v>
      </c>
      <c r="B85" s="5" t="s">
        <v>80</v>
      </c>
      <c r="C85" s="5" t="s">
        <v>84</v>
      </c>
      <c r="D85" s="5" t="s">
        <v>287</v>
      </c>
      <c r="E85" s="21" t="s">
        <v>459</v>
      </c>
    </row>
    <row r="86" spans="1:5">
      <c r="A86" s="17" t="s">
        <v>295</v>
      </c>
      <c r="B86" s="5" t="s">
        <v>80</v>
      </c>
      <c r="C86" s="5" t="s">
        <v>81</v>
      </c>
      <c r="D86" s="5" t="s">
        <v>22</v>
      </c>
      <c r="E86" s="21" t="s">
        <v>460</v>
      </c>
    </row>
    <row r="88" spans="1:5" ht="14.25">
      <c r="A88" s="18"/>
      <c r="B88" s="19" t="s">
        <v>206</v>
      </c>
    </row>
    <row r="89" spans="1:5" ht="15">
      <c r="A89" s="20" t="s">
        <v>0</v>
      </c>
      <c r="B89" s="20" t="s">
        <v>73</v>
      </c>
      <c r="C89" s="20" t="s">
        <v>74</v>
      </c>
      <c r="D89" s="20" t="s">
        <v>75</v>
      </c>
      <c r="E89" s="20" t="s">
        <v>11</v>
      </c>
    </row>
    <row r="90" spans="1:5">
      <c r="A90" s="17" t="s">
        <v>317</v>
      </c>
      <c r="B90" s="5" t="s">
        <v>207</v>
      </c>
      <c r="C90" s="5" t="s">
        <v>229</v>
      </c>
      <c r="D90" s="5" t="s">
        <v>249</v>
      </c>
      <c r="E90" s="21" t="s">
        <v>461</v>
      </c>
    </row>
    <row r="91" spans="1:5">
      <c r="A91" s="17" t="s">
        <v>313</v>
      </c>
      <c r="B91" s="5" t="s">
        <v>210</v>
      </c>
      <c r="C91" s="5" t="s">
        <v>455</v>
      </c>
      <c r="D91" s="5" t="s">
        <v>51</v>
      </c>
      <c r="E91" s="21" t="s">
        <v>462</v>
      </c>
    </row>
    <row r="94" spans="1:5" ht="15">
      <c r="A94" s="15" t="s">
        <v>213</v>
      </c>
      <c r="B94" s="16"/>
    </row>
    <row r="95" spans="1:5" ht="14.25">
      <c r="A95" s="18"/>
      <c r="B95" s="19" t="s">
        <v>214</v>
      </c>
    </row>
    <row r="96" spans="1:5" ht="15">
      <c r="A96" s="20" t="s">
        <v>0</v>
      </c>
      <c r="B96" s="20" t="s">
        <v>73</v>
      </c>
      <c r="C96" s="20" t="s">
        <v>74</v>
      </c>
      <c r="D96" s="20" t="s">
        <v>75</v>
      </c>
      <c r="E96" s="20" t="s">
        <v>11</v>
      </c>
    </row>
    <row r="97" spans="1:5">
      <c r="A97" s="17" t="s">
        <v>325</v>
      </c>
      <c r="B97" s="5" t="s">
        <v>215</v>
      </c>
      <c r="C97" s="5" t="s">
        <v>87</v>
      </c>
      <c r="D97" s="5" t="s">
        <v>62</v>
      </c>
      <c r="E97" s="21" t="s">
        <v>463</v>
      </c>
    </row>
    <row r="98" spans="1:5">
      <c r="A98" s="17" t="s">
        <v>388</v>
      </c>
      <c r="B98" s="5" t="s">
        <v>464</v>
      </c>
      <c r="C98" s="5" t="s">
        <v>222</v>
      </c>
      <c r="D98" s="5" t="s">
        <v>21</v>
      </c>
      <c r="E98" s="21" t="s">
        <v>465</v>
      </c>
    </row>
    <row r="100" spans="1:5" ht="14.25">
      <c r="A100" s="18"/>
      <c r="B100" s="19" t="s">
        <v>72</v>
      </c>
    </row>
    <row r="101" spans="1:5" ht="15">
      <c r="A101" s="20" t="s">
        <v>0</v>
      </c>
      <c r="B101" s="20" t="s">
        <v>73</v>
      </c>
      <c r="C101" s="20" t="s">
        <v>74</v>
      </c>
      <c r="D101" s="20" t="s">
        <v>75</v>
      </c>
      <c r="E101" s="20" t="s">
        <v>11</v>
      </c>
    </row>
    <row r="102" spans="1:5">
      <c r="A102" s="17" t="s">
        <v>391</v>
      </c>
      <c r="B102" s="5" t="s">
        <v>76</v>
      </c>
      <c r="C102" s="5" t="s">
        <v>222</v>
      </c>
      <c r="D102" s="5" t="s">
        <v>156</v>
      </c>
      <c r="E102" s="21" t="s">
        <v>466</v>
      </c>
    </row>
    <row r="104" spans="1:5" ht="14.25">
      <c r="A104" s="18"/>
      <c r="B104" s="19" t="s">
        <v>80</v>
      </c>
    </row>
    <row r="105" spans="1:5" ht="15">
      <c r="A105" s="20" t="s">
        <v>0</v>
      </c>
      <c r="B105" s="20" t="s">
        <v>73</v>
      </c>
      <c r="C105" s="20" t="s">
        <v>74</v>
      </c>
      <c r="D105" s="20" t="s">
        <v>75</v>
      </c>
      <c r="E105" s="20" t="s">
        <v>11</v>
      </c>
    </row>
    <row r="106" spans="1:5">
      <c r="A106" s="17" t="s">
        <v>396</v>
      </c>
      <c r="B106" s="5" t="s">
        <v>80</v>
      </c>
      <c r="C106" s="5" t="s">
        <v>222</v>
      </c>
      <c r="D106" s="5" t="s">
        <v>141</v>
      </c>
      <c r="E106" s="21" t="s">
        <v>467</v>
      </c>
    </row>
    <row r="107" spans="1:5">
      <c r="A107" s="17" t="s">
        <v>422</v>
      </c>
      <c r="B107" s="5" t="s">
        <v>80</v>
      </c>
      <c r="C107" s="5" t="s">
        <v>468</v>
      </c>
      <c r="D107" s="5" t="s">
        <v>428</v>
      </c>
      <c r="E107" s="21" t="s">
        <v>469</v>
      </c>
    </row>
    <row r="108" spans="1:5">
      <c r="A108" s="17" t="s">
        <v>351</v>
      </c>
      <c r="B108" s="5" t="s">
        <v>80</v>
      </c>
      <c r="C108" s="5" t="s">
        <v>229</v>
      </c>
      <c r="D108" s="5" t="s">
        <v>208</v>
      </c>
      <c r="E108" s="21" t="s">
        <v>470</v>
      </c>
    </row>
    <row r="109" spans="1:5">
      <c r="A109" s="17" t="s">
        <v>402</v>
      </c>
      <c r="B109" s="5" t="s">
        <v>80</v>
      </c>
      <c r="C109" s="5" t="s">
        <v>222</v>
      </c>
      <c r="D109" s="5" t="s">
        <v>85</v>
      </c>
      <c r="E109" s="21" t="s">
        <v>471</v>
      </c>
    </row>
    <row r="110" spans="1:5">
      <c r="A110" s="17" t="s">
        <v>356</v>
      </c>
      <c r="B110" s="5" t="s">
        <v>80</v>
      </c>
      <c r="C110" s="5" t="s">
        <v>229</v>
      </c>
      <c r="D110" s="5" t="s">
        <v>149</v>
      </c>
      <c r="E110" s="21" t="s">
        <v>472</v>
      </c>
    </row>
    <row r="111" spans="1:5">
      <c r="A111" s="17" t="s">
        <v>449</v>
      </c>
      <c r="B111" s="5" t="s">
        <v>80</v>
      </c>
      <c r="C111" s="5" t="s">
        <v>473</v>
      </c>
      <c r="D111" s="5" t="s">
        <v>85</v>
      </c>
      <c r="E111" s="21" t="s">
        <v>474</v>
      </c>
    </row>
    <row r="112" spans="1:5">
      <c r="A112" s="17" t="s">
        <v>429</v>
      </c>
      <c r="B112" s="5" t="s">
        <v>80</v>
      </c>
      <c r="C112" s="5" t="s">
        <v>468</v>
      </c>
      <c r="D112" s="5" t="s">
        <v>355</v>
      </c>
      <c r="E112" s="21" t="s">
        <v>475</v>
      </c>
    </row>
    <row r="113" spans="1:5">
      <c r="A113" s="17" t="s">
        <v>330</v>
      </c>
      <c r="B113" s="5" t="s">
        <v>80</v>
      </c>
      <c r="C113" s="5" t="s">
        <v>87</v>
      </c>
      <c r="D113" s="5" t="s">
        <v>170</v>
      </c>
      <c r="E113" s="21" t="s">
        <v>476</v>
      </c>
    </row>
    <row r="114" spans="1:5">
      <c r="A114" s="17" t="s">
        <v>376</v>
      </c>
      <c r="B114" s="5" t="s">
        <v>80</v>
      </c>
      <c r="C114" s="5" t="s">
        <v>217</v>
      </c>
      <c r="D114" s="5" t="s">
        <v>118</v>
      </c>
      <c r="E114" s="21" t="s">
        <v>477</v>
      </c>
    </row>
    <row r="115" spans="1:5">
      <c r="A115" s="17" t="s">
        <v>173</v>
      </c>
      <c r="B115" s="5" t="s">
        <v>80</v>
      </c>
      <c r="C115" s="5" t="s">
        <v>217</v>
      </c>
      <c r="D115" s="5" t="s">
        <v>117</v>
      </c>
      <c r="E115" s="21" t="s">
        <v>478</v>
      </c>
    </row>
    <row r="116" spans="1:5">
      <c r="A116" s="17" t="s">
        <v>333</v>
      </c>
      <c r="B116" s="5" t="s">
        <v>80</v>
      </c>
      <c r="C116" s="5" t="s">
        <v>87</v>
      </c>
      <c r="D116" s="5" t="s">
        <v>337</v>
      </c>
      <c r="E116" s="21" t="s">
        <v>479</v>
      </c>
    </row>
    <row r="118" spans="1:5" ht="14.25">
      <c r="A118" s="18"/>
      <c r="B118" s="19" t="s">
        <v>206</v>
      </c>
    </row>
    <row r="119" spans="1:5" ht="15">
      <c r="A119" s="20" t="s">
        <v>0</v>
      </c>
      <c r="B119" s="20" t="s">
        <v>73</v>
      </c>
      <c r="C119" s="20" t="s">
        <v>74</v>
      </c>
      <c r="D119" s="20" t="s">
        <v>75</v>
      </c>
      <c r="E119" s="20" t="s">
        <v>11</v>
      </c>
    </row>
    <row r="120" spans="1:5">
      <c r="A120" s="17" t="s">
        <v>381</v>
      </c>
      <c r="B120" s="5" t="s">
        <v>480</v>
      </c>
      <c r="C120" s="5" t="s">
        <v>217</v>
      </c>
      <c r="D120" s="5" t="s">
        <v>118</v>
      </c>
      <c r="E120" s="21" t="s">
        <v>481</v>
      </c>
    </row>
    <row r="121" spans="1:5">
      <c r="A121" s="17" t="s">
        <v>372</v>
      </c>
      <c r="B121" s="5" t="s">
        <v>482</v>
      </c>
      <c r="C121" s="5" t="s">
        <v>229</v>
      </c>
      <c r="D121" s="5" t="s">
        <v>126</v>
      </c>
      <c r="E121" s="21" t="s">
        <v>483</v>
      </c>
    </row>
    <row r="122" spans="1:5">
      <c r="A122" s="17" t="s">
        <v>443</v>
      </c>
      <c r="B122" s="5" t="s">
        <v>484</v>
      </c>
      <c r="C122" s="5" t="s">
        <v>468</v>
      </c>
      <c r="D122" s="5" t="s">
        <v>169</v>
      </c>
      <c r="E122" s="21" t="s">
        <v>485</v>
      </c>
    </row>
    <row r="123" spans="1:5">
      <c r="A123" s="17" t="s">
        <v>407</v>
      </c>
      <c r="B123" s="5" t="s">
        <v>241</v>
      </c>
      <c r="C123" s="5" t="s">
        <v>222</v>
      </c>
      <c r="D123" s="5" t="s">
        <v>119</v>
      </c>
      <c r="E123" s="21" t="s">
        <v>486</v>
      </c>
    </row>
    <row r="124" spans="1:5">
      <c r="A124" s="17" t="s">
        <v>367</v>
      </c>
      <c r="B124" s="5" t="s">
        <v>238</v>
      </c>
      <c r="C124" s="5" t="s">
        <v>229</v>
      </c>
      <c r="D124" s="5" t="s">
        <v>199</v>
      </c>
      <c r="E124" s="21" t="s">
        <v>487</v>
      </c>
    </row>
    <row r="125" spans="1:5">
      <c r="A125" s="17" t="s">
        <v>434</v>
      </c>
      <c r="B125" s="5" t="s">
        <v>210</v>
      </c>
      <c r="C125" s="5" t="s">
        <v>468</v>
      </c>
      <c r="D125" s="5" t="s">
        <v>156</v>
      </c>
      <c r="E125" s="21" t="s">
        <v>488</v>
      </c>
    </row>
    <row r="126" spans="1:5">
      <c r="A126" s="17" t="s">
        <v>346</v>
      </c>
      <c r="B126" s="5" t="s">
        <v>210</v>
      </c>
      <c r="C126" s="5" t="s">
        <v>455</v>
      </c>
      <c r="D126" s="5" t="s">
        <v>124</v>
      </c>
      <c r="E126" s="21" t="s">
        <v>489</v>
      </c>
    </row>
    <row r="127" spans="1:5">
      <c r="A127" s="17" t="s">
        <v>362</v>
      </c>
      <c r="B127" s="5" t="s">
        <v>480</v>
      </c>
      <c r="C127" s="5" t="s">
        <v>229</v>
      </c>
      <c r="D127" s="5" t="s">
        <v>366</v>
      </c>
      <c r="E127" s="21" t="s">
        <v>490</v>
      </c>
    </row>
    <row r="128" spans="1:5">
      <c r="A128" s="17" t="s">
        <v>411</v>
      </c>
      <c r="B128" s="5" t="s">
        <v>241</v>
      </c>
      <c r="C128" s="5" t="s">
        <v>222</v>
      </c>
      <c r="D128" s="5" t="s">
        <v>118</v>
      </c>
      <c r="E128" s="21" t="s">
        <v>491</v>
      </c>
    </row>
    <row r="129" spans="1:5">
      <c r="A129" s="17" t="s">
        <v>342</v>
      </c>
      <c r="B129" s="5" t="s">
        <v>210</v>
      </c>
      <c r="C129" s="5" t="s">
        <v>87</v>
      </c>
      <c r="D129" s="5" t="s">
        <v>199</v>
      </c>
      <c r="E129" s="21" t="s">
        <v>492</v>
      </c>
    </row>
    <row r="130" spans="1:5">
      <c r="A130" s="17" t="s">
        <v>439</v>
      </c>
      <c r="B130" s="5" t="s">
        <v>210</v>
      </c>
      <c r="C130" s="5" t="s">
        <v>468</v>
      </c>
      <c r="D130" s="5" t="s">
        <v>33</v>
      </c>
      <c r="E130" s="21" t="s">
        <v>493</v>
      </c>
    </row>
    <row r="131" spans="1:5">
      <c r="A131" s="17" t="s">
        <v>338</v>
      </c>
      <c r="B131" s="5" t="s">
        <v>241</v>
      </c>
      <c r="C131" s="5" t="s">
        <v>87</v>
      </c>
      <c r="D131" s="5" t="s">
        <v>25</v>
      </c>
      <c r="E131" s="21" t="s">
        <v>494</v>
      </c>
    </row>
    <row r="132" spans="1:5">
      <c r="A132" s="17" t="s">
        <v>417</v>
      </c>
      <c r="B132" s="5" t="s">
        <v>480</v>
      </c>
      <c r="C132" s="5" t="s">
        <v>222</v>
      </c>
      <c r="D132" s="5" t="s">
        <v>24</v>
      </c>
      <c r="E132" s="21" t="s">
        <v>495</v>
      </c>
    </row>
    <row r="133" spans="1:5">
      <c r="A133" s="17" t="s">
        <v>157</v>
      </c>
      <c r="B133" s="5" t="s">
        <v>241</v>
      </c>
      <c r="C133" s="5" t="s">
        <v>229</v>
      </c>
      <c r="D133" s="5" t="s">
        <v>63</v>
      </c>
      <c r="E133" s="21" t="s">
        <v>496</v>
      </c>
    </row>
    <row r="134" spans="1:5">
      <c r="A134" s="17" t="s">
        <v>384</v>
      </c>
      <c r="B134" s="5" t="s">
        <v>497</v>
      </c>
      <c r="C134" s="5" t="s">
        <v>217</v>
      </c>
      <c r="D134" s="5" t="s">
        <v>25</v>
      </c>
      <c r="E134" s="21" t="s">
        <v>498</v>
      </c>
    </row>
  </sheetData>
  <mergeCells count="24">
    <mergeCell ref="A44:L44"/>
    <mergeCell ref="A50:L50"/>
    <mergeCell ref="A59:L59"/>
    <mergeCell ref="A66:L66"/>
    <mergeCell ref="A14:L14"/>
    <mergeCell ref="A17:L17"/>
    <mergeCell ref="A22:L22"/>
    <mergeCell ref="A26:L26"/>
    <mergeCell ref="A33:L33"/>
    <mergeCell ref="A36:L36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5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>
      <c r="A1" s="33" t="s">
        <v>1694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2</v>
      </c>
      <c r="H3" s="43"/>
      <c r="I3" s="43"/>
      <c r="J3" s="46"/>
      <c r="K3" s="39" t="s">
        <v>3</v>
      </c>
      <c r="L3" s="43"/>
      <c r="M3" s="43"/>
      <c r="N3" s="46"/>
      <c r="O3" s="39" t="s">
        <v>4</v>
      </c>
      <c r="P3" s="43"/>
      <c r="Q3" s="43"/>
      <c r="R3" s="46"/>
      <c r="S3" s="48" t="s">
        <v>9</v>
      </c>
      <c r="T3" s="43" t="s">
        <v>6</v>
      </c>
      <c r="U3" s="46" t="s">
        <v>5</v>
      </c>
    </row>
    <row r="4" spans="1:21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9"/>
      <c r="T4" s="42"/>
      <c r="U4" s="50"/>
    </row>
    <row r="5" spans="1:21" s="5" customFormat="1" ht="15">
      <c r="A5" s="51" t="s">
        <v>144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s="5" customFormat="1">
      <c r="A6" s="22" t="s">
        <v>272</v>
      </c>
      <c r="B6" s="23" t="s">
        <v>273</v>
      </c>
      <c r="C6" s="23" t="s">
        <v>274</v>
      </c>
      <c r="D6" s="23" t="str">
        <f>"0,6213"</f>
        <v>0,6213</v>
      </c>
      <c r="E6" s="22" t="s">
        <v>18</v>
      </c>
      <c r="F6" s="22" t="s">
        <v>275</v>
      </c>
      <c r="G6" s="23" t="s">
        <v>167</v>
      </c>
      <c r="H6" s="23" t="s">
        <v>276</v>
      </c>
      <c r="I6" s="24" t="s">
        <v>277</v>
      </c>
      <c r="J6" s="24"/>
      <c r="K6" s="23" t="s">
        <v>150</v>
      </c>
      <c r="L6" s="23" t="s">
        <v>129</v>
      </c>
      <c r="M6" s="24" t="s">
        <v>278</v>
      </c>
      <c r="N6" s="24"/>
      <c r="O6" s="23" t="s">
        <v>150</v>
      </c>
      <c r="P6" s="23" t="s">
        <v>143</v>
      </c>
      <c r="Q6" s="23" t="s">
        <v>141</v>
      </c>
      <c r="R6" s="24"/>
      <c r="S6" s="22" t="str">
        <f>"750,0"</f>
        <v>750,0</v>
      </c>
      <c r="T6" s="23" t="str">
        <f>"466,0125"</f>
        <v>466,0125</v>
      </c>
      <c r="U6" s="22"/>
    </row>
    <row r="7" spans="1:21" s="5" customFormat="1">
      <c r="A7" s="29" t="s">
        <v>272</v>
      </c>
      <c r="B7" s="28" t="s">
        <v>279</v>
      </c>
      <c r="C7" s="28" t="s">
        <v>274</v>
      </c>
      <c r="D7" s="28" t="str">
        <f>"0,6213"</f>
        <v>0,6213</v>
      </c>
      <c r="E7" s="29" t="s">
        <v>18</v>
      </c>
      <c r="F7" s="29" t="s">
        <v>275</v>
      </c>
      <c r="G7" s="28" t="s">
        <v>167</v>
      </c>
      <c r="H7" s="28" t="s">
        <v>276</v>
      </c>
      <c r="I7" s="30" t="s">
        <v>277</v>
      </c>
      <c r="J7" s="30"/>
      <c r="K7" s="28" t="s">
        <v>150</v>
      </c>
      <c r="L7" s="28" t="s">
        <v>129</v>
      </c>
      <c r="M7" s="30" t="s">
        <v>278</v>
      </c>
      <c r="N7" s="30"/>
      <c r="O7" s="28" t="s">
        <v>150</v>
      </c>
      <c r="P7" s="28" t="s">
        <v>143</v>
      </c>
      <c r="Q7" s="28" t="s">
        <v>141</v>
      </c>
      <c r="R7" s="30"/>
      <c r="S7" s="29" t="str">
        <f>"750,0"</f>
        <v>750,0</v>
      </c>
      <c r="T7" s="28" t="str">
        <f>"480,4589"</f>
        <v>480,4589</v>
      </c>
      <c r="U7" s="29"/>
    </row>
    <row r="9" spans="1:21" ht="15">
      <c r="E9" s="12" t="s">
        <v>64</v>
      </c>
    </row>
    <row r="10" spans="1:21" ht="15">
      <c r="E10" s="12" t="s">
        <v>65</v>
      </c>
    </row>
    <row r="11" spans="1:21" ht="15">
      <c r="E11" s="12" t="s">
        <v>66</v>
      </c>
    </row>
    <row r="12" spans="1:21">
      <c r="E12" s="4" t="s">
        <v>67</v>
      </c>
    </row>
    <row r="13" spans="1:21">
      <c r="E13" s="4" t="s">
        <v>68</v>
      </c>
    </row>
    <row r="14" spans="1:21">
      <c r="E14" s="4" t="s">
        <v>69</v>
      </c>
    </row>
    <row r="17" spans="1:5" ht="18">
      <c r="A17" s="13" t="s">
        <v>70</v>
      </c>
      <c r="B17" s="14"/>
    </row>
    <row r="18" spans="1:5" ht="15">
      <c r="A18" s="15" t="s">
        <v>213</v>
      </c>
      <c r="B18" s="16"/>
    </row>
    <row r="19" spans="1:5" ht="14.25">
      <c r="A19" s="18"/>
      <c r="B19" s="19" t="s">
        <v>80</v>
      </c>
    </row>
    <row r="20" spans="1:5" ht="15">
      <c r="A20" s="20" t="s">
        <v>0</v>
      </c>
      <c r="B20" s="20" t="s">
        <v>73</v>
      </c>
      <c r="C20" s="20" t="s">
        <v>74</v>
      </c>
      <c r="D20" s="20" t="s">
        <v>75</v>
      </c>
      <c r="E20" s="20" t="s">
        <v>11</v>
      </c>
    </row>
    <row r="21" spans="1:5">
      <c r="A21" s="17" t="s">
        <v>271</v>
      </c>
      <c r="B21" s="5" t="s">
        <v>80</v>
      </c>
      <c r="C21" s="5" t="s">
        <v>229</v>
      </c>
      <c r="D21" s="5" t="s">
        <v>280</v>
      </c>
      <c r="E21" s="21" t="s">
        <v>281</v>
      </c>
    </row>
    <row r="23" spans="1:5" ht="14.25">
      <c r="A23" s="18"/>
      <c r="B23" s="19" t="s">
        <v>206</v>
      </c>
    </row>
    <row r="24" spans="1:5" ht="15">
      <c r="A24" s="20" t="s">
        <v>0</v>
      </c>
      <c r="B24" s="20" t="s">
        <v>73</v>
      </c>
      <c r="C24" s="20" t="s">
        <v>74</v>
      </c>
      <c r="D24" s="20" t="s">
        <v>75</v>
      </c>
      <c r="E24" s="20" t="s">
        <v>11</v>
      </c>
    </row>
    <row r="25" spans="1:5">
      <c r="A25" s="17" t="s">
        <v>271</v>
      </c>
      <c r="B25" s="5" t="s">
        <v>241</v>
      </c>
      <c r="C25" s="5" t="s">
        <v>229</v>
      </c>
      <c r="D25" s="5" t="s">
        <v>280</v>
      </c>
      <c r="E25" s="21" t="s">
        <v>282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34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>
      <c r="A1" s="33" t="s">
        <v>1693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2</v>
      </c>
      <c r="H3" s="43"/>
      <c r="I3" s="43"/>
      <c r="J3" s="46"/>
      <c r="K3" s="39" t="s">
        <v>3</v>
      </c>
      <c r="L3" s="43"/>
      <c r="M3" s="43"/>
      <c r="N3" s="46"/>
      <c r="O3" s="39" t="s">
        <v>4</v>
      </c>
      <c r="P3" s="43"/>
      <c r="Q3" s="43"/>
      <c r="R3" s="46"/>
      <c r="S3" s="48" t="s">
        <v>9</v>
      </c>
      <c r="T3" s="43" t="s">
        <v>6</v>
      </c>
      <c r="U3" s="46" t="s">
        <v>5</v>
      </c>
    </row>
    <row r="4" spans="1:21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9"/>
      <c r="T4" s="42"/>
      <c r="U4" s="50"/>
    </row>
    <row r="5" spans="1:21" s="5" customFormat="1" ht="15">
      <c r="A5" s="51" t="s">
        <v>41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s="5" customFormat="1">
      <c r="A6" s="9" t="s">
        <v>246</v>
      </c>
      <c r="B6" s="10" t="s">
        <v>247</v>
      </c>
      <c r="C6" s="10" t="s">
        <v>248</v>
      </c>
      <c r="D6" s="10" t="str">
        <f>"0,7733"</f>
        <v>0,7733</v>
      </c>
      <c r="E6" s="9" t="s">
        <v>18</v>
      </c>
      <c r="F6" s="9" t="s">
        <v>60</v>
      </c>
      <c r="G6" s="10" t="s">
        <v>249</v>
      </c>
      <c r="H6" s="10" t="s">
        <v>170</v>
      </c>
      <c r="I6" s="10" t="s">
        <v>250</v>
      </c>
      <c r="J6" s="11"/>
      <c r="K6" s="10" t="s">
        <v>96</v>
      </c>
      <c r="L6" s="10" t="s">
        <v>35</v>
      </c>
      <c r="M6" s="10" t="s">
        <v>24</v>
      </c>
      <c r="N6" s="11"/>
      <c r="O6" s="10" t="s">
        <v>251</v>
      </c>
      <c r="P6" s="11" t="s">
        <v>252</v>
      </c>
      <c r="Q6" s="10" t="s">
        <v>253</v>
      </c>
      <c r="R6" s="11"/>
      <c r="S6" s="9" t="str">
        <f>"450,0"</f>
        <v>450,0</v>
      </c>
      <c r="T6" s="10" t="str">
        <f>"347,9850"</f>
        <v>347,9850</v>
      </c>
      <c r="U6" s="9"/>
    </row>
    <row r="7" spans="1:21" s="5" customFormat="1">
      <c r="A7" s="4"/>
      <c r="E7" s="4"/>
      <c r="F7" s="4"/>
      <c r="S7" s="4"/>
      <c r="U7" s="4"/>
    </row>
    <row r="8" spans="1:21" ht="15">
      <c r="A8" s="47" t="s">
        <v>161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>
      <c r="A9" s="9" t="s">
        <v>255</v>
      </c>
      <c r="B9" s="10" t="s">
        <v>256</v>
      </c>
      <c r="C9" s="10" t="s">
        <v>257</v>
      </c>
      <c r="D9" s="10" t="str">
        <f>"0,6026"</f>
        <v>0,6026</v>
      </c>
      <c r="E9" s="9" t="s">
        <v>18</v>
      </c>
      <c r="F9" s="9" t="s">
        <v>258</v>
      </c>
      <c r="G9" s="10" t="s">
        <v>63</v>
      </c>
      <c r="H9" s="10" t="s">
        <v>33</v>
      </c>
      <c r="I9" s="11" t="s">
        <v>136</v>
      </c>
      <c r="J9" s="11"/>
      <c r="K9" s="10" t="s">
        <v>21</v>
      </c>
      <c r="L9" s="11" t="s">
        <v>26</v>
      </c>
      <c r="M9" s="10" t="s">
        <v>26</v>
      </c>
      <c r="N9" s="11"/>
      <c r="O9" s="10" t="s">
        <v>126</v>
      </c>
      <c r="P9" s="10" t="s">
        <v>169</v>
      </c>
      <c r="Q9" s="10" t="s">
        <v>124</v>
      </c>
      <c r="R9" s="11"/>
      <c r="S9" s="9" t="str">
        <f>"400,0"</f>
        <v>400,0</v>
      </c>
      <c r="T9" s="10" t="str">
        <f>"280,8349"</f>
        <v>280,8349</v>
      </c>
      <c r="U9" s="9"/>
    </row>
    <row r="11" spans="1:21" ht="15">
      <c r="A11" s="47" t="s">
        <v>184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>
      <c r="A12" s="9" t="s">
        <v>260</v>
      </c>
      <c r="B12" s="10" t="s">
        <v>261</v>
      </c>
      <c r="C12" s="10" t="s">
        <v>196</v>
      </c>
      <c r="D12" s="10" t="str">
        <f>"0,5683"</f>
        <v>0,5683</v>
      </c>
      <c r="E12" s="9" t="s">
        <v>59</v>
      </c>
      <c r="F12" s="9" t="s">
        <v>60</v>
      </c>
      <c r="G12" s="10" t="s">
        <v>262</v>
      </c>
      <c r="H12" s="11" t="s">
        <v>201</v>
      </c>
      <c r="I12" s="11" t="s">
        <v>201</v>
      </c>
      <c r="J12" s="11"/>
      <c r="K12" s="10" t="s">
        <v>179</v>
      </c>
      <c r="L12" s="10" t="s">
        <v>263</v>
      </c>
      <c r="M12" s="11" t="s">
        <v>252</v>
      </c>
      <c r="N12" s="11"/>
      <c r="O12" s="10" t="s">
        <v>197</v>
      </c>
      <c r="P12" s="10" t="s">
        <v>264</v>
      </c>
      <c r="Q12" s="11" t="s">
        <v>265</v>
      </c>
      <c r="R12" s="11"/>
      <c r="S12" s="9" t="str">
        <f>"722,5"</f>
        <v>722,5</v>
      </c>
      <c r="T12" s="10" t="str">
        <f>"410,5968"</f>
        <v>410,5968</v>
      </c>
      <c r="U12" s="9"/>
    </row>
    <row r="14" spans="1:21" ht="15">
      <c r="E14" s="12" t="s">
        <v>64</v>
      </c>
    </row>
    <row r="15" spans="1:21" ht="15">
      <c r="E15" s="12" t="s">
        <v>65</v>
      </c>
    </row>
    <row r="16" spans="1:21" ht="15">
      <c r="E16" s="12" t="s">
        <v>66</v>
      </c>
    </row>
    <row r="17" spans="1:5">
      <c r="E17" s="4" t="s">
        <v>67</v>
      </c>
    </row>
    <row r="18" spans="1:5">
      <c r="E18" s="4" t="s">
        <v>68</v>
      </c>
    </row>
    <row r="19" spans="1:5">
      <c r="E19" s="4" t="s">
        <v>69</v>
      </c>
    </row>
    <row r="22" spans="1:5" ht="18">
      <c r="A22" s="13" t="s">
        <v>70</v>
      </c>
      <c r="B22" s="14"/>
    </row>
    <row r="23" spans="1:5" ht="15">
      <c r="A23" s="15" t="s">
        <v>213</v>
      </c>
      <c r="B23" s="16"/>
    </row>
    <row r="24" spans="1:5" ht="14.25">
      <c r="A24" s="18"/>
      <c r="B24" s="19" t="s">
        <v>72</v>
      </c>
    </row>
    <row r="25" spans="1:5" ht="15">
      <c r="A25" s="20" t="s">
        <v>0</v>
      </c>
      <c r="B25" s="20" t="s">
        <v>73</v>
      </c>
      <c r="C25" s="20" t="s">
        <v>74</v>
      </c>
      <c r="D25" s="20" t="s">
        <v>75</v>
      </c>
      <c r="E25" s="20" t="s">
        <v>11</v>
      </c>
    </row>
    <row r="26" spans="1:5">
      <c r="A26" s="17" t="s">
        <v>245</v>
      </c>
      <c r="B26" s="5" t="s">
        <v>76</v>
      </c>
      <c r="C26" s="5" t="s">
        <v>77</v>
      </c>
      <c r="D26" s="5" t="s">
        <v>266</v>
      </c>
      <c r="E26" s="21" t="s">
        <v>267</v>
      </c>
    </row>
    <row r="28" spans="1:5" ht="14.25">
      <c r="A28" s="18"/>
      <c r="B28" s="19" t="s">
        <v>80</v>
      </c>
    </row>
    <row r="29" spans="1:5" ht="15">
      <c r="A29" s="20" t="s">
        <v>0</v>
      </c>
      <c r="B29" s="20" t="s">
        <v>73</v>
      </c>
      <c r="C29" s="20" t="s">
        <v>74</v>
      </c>
      <c r="D29" s="20" t="s">
        <v>75</v>
      </c>
      <c r="E29" s="20" t="s">
        <v>11</v>
      </c>
    </row>
    <row r="30" spans="1:5">
      <c r="A30" s="17" t="s">
        <v>259</v>
      </c>
      <c r="B30" s="5" t="s">
        <v>80</v>
      </c>
      <c r="C30" s="5" t="s">
        <v>222</v>
      </c>
      <c r="D30" s="5" t="s">
        <v>268</v>
      </c>
      <c r="E30" s="21" t="s">
        <v>269</v>
      </c>
    </row>
    <row r="32" spans="1:5" ht="14.25">
      <c r="A32" s="18"/>
      <c r="B32" s="19" t="s">
        <v>206</v>
      </c>
    </row>
    <row r="33" spans="1:5" ht="15">
      <c r="A33" s="20" t="s">
        <v>0</v>
      </c>
      <c r="B33" s="20" t="s">
        <v>73</v>
      </c>
      <c r="C33" s="20" t="s">
        <v>74</v>
      </c>
      <c r="D33" s="20" t="s">
        <v>75</v>
      </c>
      <c r="E33" s="20" t="s">
        <v>11</v>
      </c>
    </row>
    <row r="34" spans="1:5">
      <c r="A34" s="17" t="s">
        <v>254</v>
      </c>
      <c r="B34" s="5" t="s">
        <v>207</v>
      </c>
      <c r="C34" s="5" t="s">
        <v>217</v>
      </c>
      <c r="D34" s="5" t="s">
        <v>243</v>
      </c>
      <c r="E34" s="21" t="s">
        <v>270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79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425781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>
      <c r="A1" s="33" t="s">
        <v>1692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2</v>
      </c>
      <c r="H3" s="43"/>
      <c r="I3" s="43"/>
      <c r="J3" s="46"/>
      <c r="K3" s="39" t="s">
        <v>3</v>
      </c>
      <c r="L3" s="43"/>
      <c r="M3" s="43"/>
      <c r="N3" s="46"/>
      <c r="O3" s="39" t="s">
        <v>4</v>
      </c>
      <c r="P3" s="43"/>
      <c r="Q3" s="43"/>
      <c r="R3" s="46"/>
      <c r="S3" s="48" t="s">
        <v>9</v>
      </c>
      <c r="T3" s="43" t="s">
        <v>6</v>
      </c>
      <c r="U3" s="46" t="s">
        <v>5</v>
      </c>
    </row>
    <row r="4" spans="1:21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9"/>
      <c r="T4" s="42"/>
      <c r="U4" s="50"/>
    </row>
    <row r="5" spans="1:21" s="5" customFormat="1" ht="15">
      <c r="A5" s="51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s="5" customFormat="1">
      <c r="A6" s="22" t="s">
        <v>91</v>
      </c>
      <c r="B6" s="23" t="s">
        <v>92</v>
      </c>
      <c r="C6" s="23" t="s">
        <v>93</v>
      </c>
      <c r="D6" s="23" t="str">
        <f>"0,8572"</f>
        <v>0,8572</v>
      </c>
      <c r="E6" s="22" t="s">
        <v>94</v>
      </c>
      <c r="F6" s="22" t="s">
        <v>95</v>
      </c>
      <c r="G6" s="23" t="s">
        <v>62</v>
      </c>
      <c r="H6" s="24" t="s">
        <v>96</v>
      </c>
      <c r="I6" s="24" t="s">
        <v>21</v>
      </c>
      <c r="J6" s="24"/>
      <c r="K6" s="23" t="s">
        <v>23</v>
      </c>
      <c r="L6" s="24" t="s">
        <v>47</v>
      </c>
      <c r="M6" s="23" t="s">
        <v>47</v>
      </c>
      <c r="N6" s="24"/>
      <c r="O6" s="23" t="s">
        <v>34</v>
      </c>
      <c r="P6" s="23" t="s">
        <v>24</v>
      </c>
      <c r="Q6" s="23" t="s">
        <v>97</v>
      </c>
      <c r="R6" s="24"/>
      <c r="S6" s="22" t="str">
        <f>"212,5"</f>
        <v>212,5</v>
      </c>
      <c r="T6" s="23" t="str">
        <f>"192,1623"</f>
        <v>192,1623</v>
      </c>
      <c r="U6" s="22"/>
    </row>
    <row r="7" spans="1:21" s="5" customFormat="1">
      <c r="A7" s="25" t="s">
        <v>99</v>
      </c>
      <c r="B7" s="26" t="s">
        <v>100</v>
      </c>
      <c r="C7" s="26" t="s">
        <v>101</v>
      </c>
      <c r="D7" s="26" t="str">
        <f>"0,8899"</f>
        <v>0,8899</v>
      </c>
      <c r="E7" s="25" t="s">
        <v>18</v>
      </c>
      <c r="F7" s="25" t="s">
        <v>102</v>
      </c>
      <c r="G7" s="26" t="s">
        <v>103</v>
      </c>
      <c r="H7" s="26" t="s">
        <v>20</v>
      </c>
      <c r="I7" s="27" t="s">
        <v>104</v>
      </c>
      <c r="J7" s="27"/>
      <c r="K7" s="26" t="s">
        <v>105</v>
      </c>
      <c r="L7" s="26" t="s">
        <v>51</v>
      </c>
      <c r="M7" s="27" t="s">
        <v>22</v>
      </c>
      <c r="N7" s="27"/>
      <c r="O7" s="26" t="s">
        <v>96</v>
      </c>
      <c r="P7" s="26" t="s">
        <v>104</v>
      </c>
      <c r="Q7" s="26" t="s">
        <v>35</v>
      </c>
      <c r="R7" s="27"/>
      <c r="S7" s="25" t="str">
        <f>"200,0"</f>
        <v>200,0</v>
      </c>
      <c r="T7" s="26" t="str">
        <f>"192,5635"</f>
        <v>192,5635</v>
      </c>
      <c r="U7" s="25"/>
    </row>
    <row r="8" spans="1:21">
      <c r="A8" s="29" t="s">
        <v>107</v>
      </c>
      <c r="B8" s="28" t="s">
        <v>108</v>
      </c>
      <c r="C8" s="28" t="s">
        <v>109</v>
      </c>
      <c r="D8" s="28" t="str">
        <f>"0,8539"</f>
        <v>0,8539</v>
      </c>
      <c r="E8" s="29" t="s">
        <v>18</v>
      </c>
      <c r="F8" s="29" t="s">
        <v>110</v>
      </c>
      <c r="G8" s="28" t="s">
        <v>62</v>
      </c>
      <c r="H8" s="28" t="s">
        <v>103</v>
      </c>
      <c r="I8" s="28" t="s">
        <v>96</v>
      </c>
      <c r="J8" s="30"/>
      <c r="K8" s="28" t="s">
        <v>22</v>
      </c>
      <c r="L8" s="28" t="s">
        <v>111</v>
      </c>
      <c r="M8" s="28" t="s">
        <v>47</v>
      </c>
      <c r="N8" s="30"/>
      <c r="O8" s="28" t="s">
        <v>96</v>
      </c>
      <c r="P8" s="28" t="s">
        <v>34</v>
      </c>
      <c r="Q8" s="28" t="s">
        <v>112</v>
      </c>
      <c r="R8" s="30"/>
      <c r="S8" s="29" t="str">
        <f>"212,5"</f>
        <v>212,5</v>
      </c>
      <c r="T8" s="28" t="str">
        <f>"218,4575"</f>
        <v>218,4575</v>
      </c>
      <c r="U8" s="29"/>
    </row>
    <row r="10" spans="1:21" ht="15">
      <c r="A10" s="47" t="s">
        <v>27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</row>
    <row r="11" spans="1:21">
      <c r="A11" s="9" t="s">
        <v>114</v>
      </c>
      <c r="B11" s="10" t="s">
        <v>115</v>
      </c>
      <c r="C11" s="10" t="s">
        <v>116</v>
      </c>
      <c r="D11" s="10" t="str">
        <f>"0,8480"</f>
        <v>0,8480</v>
      </c>
      <c r="E11" s="9" t="s">
        <v>18</v>
      </c>
      <c r="F11" s="9" t="s">
        <v>60</v>
      </c>
      <c r="G11" s="10" t="s">
        <v>117</v>
      </c>
      <c r="H11" s="10" t="s">
        <v>118</v>
      </c>
      <c r="I11" s="11"/>
      <c r="J11" s="11"/>
      <c r="K11" s="10" t="s">
        <v>24</v>
      </c>
      <c r="L11" s="10" t="s">
        <v>25</v>
      </c>
      <c r="M11" s="11" t="s">
        <v>26</v>
      </c>
      <c r="N11" s="11"/>
      <c r="O11" s="10" t="s">
        <v>78</v>
      </c>
      <c r="P11" s="11" t="s">
        <v>119</v>
      </c>
      <c r="Q11" s="10" t="s">
        <v>119</v>
      </c>
      <c r="R11" s="11"/>
      <c r="S11" s="9" t="str">
        <f>"485,0"</f>
        <v>485,0</v>
      </c>
      <c r="T11" s="10" t="str">
        <f>"411,3042"</f>
        <v>411,3042</v>
      </c>
      <c r="U11" s="9"/>
    </row>
    <row r="13" spans="1:21" ht="15">
      <c r="A13" s="47" t="s">
        <v>41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1:21">
      <c r="A14" s="9" t="s">
        <v>121</v>
      </c>
      <c r="B14" s="10" t="s">
        <v>122</v>
      </c>
      <c r="C14" s="10" t="s">
        <v>123</v>
      </c>
      <c r="D14" s="10" t="str">
        <f>"0,7671"</f>
        <v>0,7671</v>
      </c>
      <c r="E14" s="9" t="s">
        <v>18</v>
      </c>
      <c r="F14" s="9"/>
      <c r="G14" s="10" t="s">
        <v>124</v>
      </c>
      <c r="H14" s="10" t="s">
        <v>117</v>
      </c>
      <c r="I14" s="10" t="s">
        <v>118</v>
      </c>
      <c r="J14" s="11"/>
      <c r="K14" s="10" t="s">
        <v>125</v>
      </c>
      <c r="L14" s="10" t="s">
        <v>126</v>
      </c>
      <c r="M14" s="10" t="s">
        <v>127</v>
      </c>
      <c r="N14" s="11"/>
      <c r="O14" s="10" t="s">
        <v>128</v>
      </c>
      <c r="P14" s="11" t="s">
        <v>129</v>
      </c>
      <c r="Q14" s="11"/>
      <c r="R14" s="11"/>
      <c r="S14" s="9" t="str">
        <f>"507,5"</f>
        <v>507,5</v>
      </c>
      <c r="T14" s="10" t="str">
        <f>"468,6906"</f>
        <v>468,6906</v>
      </c>
      <c r="U14" s="9"/>
    </row>
    <row r="16" spans="1:21" ht="15">
      <c r="A16" s="47" t="s">
        <v>54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1">
      <c r="A17" s="22" t="s">
        <v>131</v>
      </c>
      <c r="B17" s="23" t="s">
        <v>132</v>
      </c>
      <c r="C17" s="23" t="s">
        <v>133</v>
      </c>
      <c r="D17" s="23" t="str">
        <f>"0,6962"</f>
        <v>0,6962</v>
      </c>
      <c r="E17" s="22" t="s">
        <v>18</v>
      </c>
      <c r="F17" s="22" t="s">
        <v>60</v>
      </c>
      <c r="G17" s="23" t="s">
        <v>63</v>
      </c>
      <c r="H17" s="23" t="s">
        <v>125</v>
      </c>
      <c r="I17" s="23" t="s">
        <v>33</v>
      </c>
      <c r="J17" s="24"/>
      <c r="K17" s="23" t="s">
        <v>61</v>
      </c>
      <c r="L17" s="24" t="s">
        <v>134</v>
      </c>
      <c r="M17" s="23" t="s">
        <v>135</v>
      </c>
      <c r="N17" s="24"/>
      <c r="O17" s="23" t="s">
        <v>136</v>
      </c>
      <c r="P17" s="23" t="s">
        <v>124</v>
      </c>
      <c r="Q17" s="23" t="s">
        <v>117</v>
      </c>
      <c r="R17" s="24"/>
      <c r="S17" s="22" t="str">
        <f>"370,0"</f>
        <v>370,0</v>
      </c>
      <c r="T17" s="23" t="str">
        <f>"257,5755"</f>
        <v>257,5755</v>
      </c>
      <c r="U17" s="22"/>
    </row>
    <row r="18" spans="1:21">
      <c r="A18" s="29" t="s">
        <v>138</v>
      </c>
      <c r="B18" s="28" t="s">
        <v>139</v>
      </c>
      <c r="C18" s="28" t="s">
        <v>140</v>
      </c>
      <c r="D18" s="28" t="str">
        <f>"0,6920"</f>
        <v>0,6920</v>
      </c>
      <c r="E18" s="29" t="s">
        <v>59</v>
      </c>
      <c r="F18" s="29" t="s">
        <v>60</v>
      </c>
      <c r="G18" s="28" t="s">
        <v>119</v>
      </c>
      <c r="H18" s="28" t="s">
        <v>85</v>
      </c>
      <c r="I18" s="30" t="s">
        <v>141</v>
      </c>
      <c r="J18" s="30"/>
      <c r="K18" s="30" t="s">
        <v>33</v>
      </c>
      <c r="L18" s="28" t="s">
        <v>33</v>
      </c>
      <c r="M18" s="28" t="s">
        <v>142</v>
      </c>
      <c r="N18" s="30"/>
      <c r="O18" s="28" t="s">
        <v>119</v>
      </c>
      <c r="P18" s="28" t="s">
        <v>85</v>
      </c>
      <c r="Q18" s="30" t="s">
        <v>143</v>
      </c>
      <c r="R18" s="30"/>
      <c r="S18" s="29" t="str">
        <f>"575,0"</f>
        <v>575,0</v>
      </c>
      <c r="T18" s="28" t="str">
        <f>"397,8713"</f>
        <v>397,8713</v>
      </c>
      <c r="U18" s="29"/>
    </row>
    <row r="20" spans="1:21" ht="15">
      <c r="A20" s="47" t="s">
        <v>144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1">
      <c r="A21" s="22" t="s">
        <v>146</v>
      </c>
      <c r="B21" s="23" t="s">
        <v>147</v>
      </c>
      <c r="C21" s="23" t="s">
        <v>148</v>
      </c>
      <c r="D21" s="23" t="str">
        <f>"0,6308"</f>
        <v>0,6308</v>
      </c>
      <c r="E21" s="22" t="s">
        <v>59</v>
      </c>
      <c r="F21" s="22" t="s">
        <v>60</v>
      </c>
      <c r="G21" s="24" t="s">
        <v>149</v>
      </c>
      <c r="H21" s="23" t="s">
        <v>119</v>
      </c>
      <c r="I21" s="23" t="s">
        <v>143</v>
      </c>
      <c r="J21" s="24"/>
      <c r="K21" s="24" t="s">
        <v>26</v>
      </c>
      <c r="L21" s="23" t="s">
        <v>26</v>
      </c>
      <c r="M21" s="24" t="s">
        <v>32</v>
      </c>
      <c r="N21" s="24"/>
      <c r="O21" s="23" t="s">
        <v>150</v>
      </c>
      <c r="P21" s="24" t="s">
        <v>151</v>
      </c>
      <c r="Q21" s="23" t="s">
        <v>143</v>
      </c>
      <c r="R21" s="24"/>
      <c r="S21" s="22" t="str">
        <f>"570,0"</f>
        <v>570,0</v>
      </c>
      <c r="T21" s="23" t="str">
        <f>"359,5560"</f>
        <v>359,5560</v>
      </c>
      <c r="U21" s="22"/>
    </row>
    <row r="22" spans="1:21">
      <c r="A22" s="25" t="s">
        <v>153</v>
      </c>
      <c r="B22" s="26" t="s">
        <v>154</v>
      </c>
      <c r="C22" s="26" t="s">
        <v>155</v>
      </c>
      <c r="D22" s="26" t="str">
        <f>"0,6165"</f>
        <v>0,6165</v>
      </c>
      <c r="E22" s="25" t="s">
        <v>94</v>
      </c>
      <c r="F22" s="25" t="s">
        <v>95</v>
      </c>
      <c r="G22" s="26" t="s">
        <v>118</v>
      </c>
      <c r="H22" s="26" t="s">
        <v>149</v>
      </c>
      <c r="I22" s="26" t="s">
        <v>119</v>
      </c>
      <c r="J22" s="27"/>
      <c r="K22" s="26" t="s">
        <v>26</v>
      </c>
      <c r="L22" s="26" t="s">
        <v>125</v>
      </c>
      <c r="M22" s="27" t="s">
        <v>126</v>
      </c>
      <c r="N22" s="27"/>
      <c r="O22" s="26" t="s">
        <v>118</v>
      </c>
      <c r="P22" s="26" t="s">
        <v>156</v>
      </c>
      <c r="Q22" s="26" t="s">
        <v>119</v>
      </c>
      <c r="R22" s="27"/>
      <c r="S22" s="25" t="str">
        <f>"515,0"</f>
        <v>515,0</v>
      </c>
      <c r="T22" s="26" t="str">
        <f>"317,4718"</f>
        <v>317,4718</v>
      </c>
      <c r="U22" s="25"/>
    </row>
    <row r="23" spans="1:21">
      <c r="A23" s="29" t="s">
        <v>158</v>
      </c>
      <c r="B23" s="28" t="s">
        <v>159</v>
      </c>
      <c r="C23" s="28" t="s">
        <v>160</v>
      </c>
      <c r="D23" s="28" t="str">
        <f>"0,6161"</f>
        <v>0,6161</v>
      </c>
      <c r="E23" s="29" t="s">
        <v>59</v>
      </c>
      <c r="F23" s="29" t="s">
        <v>60</v>
      </c>
      <c r="G23" s="28" t="s">
        <v>26</v>
      </c>
      <c r="H23" s="28" t="s">
        <v>126</v>
      </c>
      <c r="I23" s="28" t="s">
        <v>33</v>
      </c>
      <c r="J23" s="30"/>
      <c r="K23" s="28" t="s">
        <v>24</v>
      </c>
      <c r="L23" s="28" t="s">
        <v>63</v>
      </c>
      <c r="M23" s="30" t="s">
        <v>25</v>
      </c>
      <c r="N23" s="30"/>
      <c r="O23" s="28" t="s">
        <v>124</v>
      </c>
      <c r="P23" s="28" t="s">
        <v>117</v>
      </c>
      <c r="Q23" s="30"/>
      <c r="R23" s="30"/>
      <c r="S23" s="29" t="str">
        <f>"400,0"</f>
        <v>400,0</v>
      </c>
      <c r="T23" s="28" t="str">
        <f>"251,3484"</f>
        <v>251,3484</v>
      </c>
      <c r="U23" s="29"/>
    </row>
    <row r="25" spans="1:21" ht="15">
      <c r="A25" s="47" t="s">
        <v>161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1:21">
      <c r="A26" s="22" t="s">
        <v>163</v>
      </c>
      <c r="B26" s="23" t="s">
        <v>164</v>
      </c>
      <c r="C26" s="23" t="s">
        <v>165</v>
      </c>
      <c r="D26" s="23" t="str">
        <f>"0,5929"</f>
        <v>0,5929</v>
      </c>
      <c r="E26" s="22" t="s">
        <v>18</v>
      </c>
      <c r="F26" s="22" t="s">
        <v>60</v>
      </c>
      <c r="G26" s="23" t="s">
        <v>166</v>
      </c>
      <c r="H26" s="23" t="s">
        <v>167</v>
      </c>
      <c r="I26" s="24" t="s">
        <v>168</v>
      </c>
      <c r="J26" s="24"/>
      <c r="K26" s="23" t="s">
        <v>169</v>
      </c>
      <c r="L26" s="23" t="s">
        <v>38</v>
      </c>
      <c r="M26" s="23" t="s">
        <v>170</v>
      </c>
      <c r="N26" s="24"/>
      <c r="O26" s="23" t="s">
        <v>167</v>
      </c>
      <c r="P26" s="24" t="s">
        <v>168</v>
      </c>
      <c r="Q26" s="23" t="s">
        <v>171</v>
      </c>
      <c r="R26" s="24"/>
      <c r="S26" s="22" t="str">
        <f>"747,5"</f>
        <v>747,5</v>
      </c>
      <c r="T26" s="23" t="str">
        <f>"443,1554"</f>
        <v>443,1554</v>
      </c>
      <c r="U26" s="22"/>
    </row>
    <row r="27" spans="1:21">
      <c r="A27" s="25" t="s">
        <v>163</v>
      </c>
      <c r="B27" s="26" t="s">
        <v>172</v>
      </c>
      <c r="C27" s="26" t="s">
        <v>165</v>
      </c>
      <c r="D27" s="26" t="str">
        <f>"0,5929"</f>
        <v>0,5929</v>
      </c>
      <c r="E27" s="25" t="s">
        <v>18</v>
      </c>
      <c r="F27" s="25" t="s">
        <v>60</v>
      </c>
      <c r="G27" s="26" t="s">
        <v>166</v>
      </c>
      <c r="H27" s="26" t="s">
        <v>167</v>
      </c>
      <c r="I27" s="27" t="s">
        <v>168</v>
      </c>
      <c r="J27" s="27"/>
      <c r="K27" s="26" t="s">
        <v>169</v>
      </c>
      <c r="L27" s="26" t="s">
        <v>38</v>
      </c>
      <c r="M27" s="26" t="s">
        <v>170</v>
      </c>
      <c r="N27" s="27"/>
      <c r="O27" s="26" t="s">
        <v>167</v>
      </c>
      <c r="P27" s="27" t="s">
        <v>168</v>
      </c>
      <c r="Q27" s="26" t="s">
        <v>171</v>
      </c>
      <c r="R27" s="27"/>
      <c r="S27" s="25" t="str">
        <f>"747,5"</f>
        <v>747,5</v>
      </c>
      <c r="T27" s="26" t="str">
        <f>"443,1554"</f>
        <v>443,1554</v>
      </c>
      <c r="U27" s="25"/>
    </row>
    <row r="28" spans="1:21">
      <c r="A28" s="25" t="s">
        <v>174</v>
      </c>
      <c r="B28" s="26" t="s">
        <v>175</v>
      </c>
      <c r="C28" s="26" t="s">
        <v>176</v>
      </c>
      <c r="D28" s="26" t="str">
        <f>"0,5940"</f>
        <v>0,5940</v>
      </c>
      <c r="E28" s="25" t="s">
        <v>18</v>
      </c>
      <c r="F28" s="25" t="s">
        <v>177</v>
      </c>
      <c r="G28" s="26" t="s">
        <v>78</v>
      </c>
      <c r="H28" s="27" t="s">
        <v>119</v>
      </c>
      <c r="I28" s="26" t="s">
        <v>128</v>
      </c>
      <c r="J28" s="27"/>
      <c r="K28" s="26" t="s">
        <v>170</v>
      </c>
      <c r="L28" s="26" t="s">
        <v>178</v>
      </c>
      <c r="M28" s="26" t="s">
        <v>179</v>
      </c>
      <c r="N28" s="27"/>
      <c r="O28" s="26" t="s">
        <v>78</v>
      </c>
      <c r="P28" s="26" t="s">
        <v>119</v>
      </c>
      <c r="Q28" s="26" t="s">
        <v>150</v>
      </c>
      <c r="R28" s="27"/>
      <c r="S28" s="25" t="str">
        <f>"590,0"</f>
        <v>590,0</v>
      </c>
      <c r="T28" s="26" t="str">
        <f>"350,4600"</f>
        <v>350,4600</v>
      </c>
      <c r="U28" s="25"/>
    </row>
    <row r="29" spans="1:21">
      <c r="A29" s="29" t="s">
        <v>181</v>
      </c>
      <c r="B29" s="28" t="s">
        <v>182</v>
      </c>
      <c r="C29" s="28" t="s">
        <v>183</v>
      </c>
      <c r="D29" s="28" t="str">
        <f>"0,5850"</f>
        <v>0,5850</v>
      </c>
      <c r="E29" s="29" t="s">
        <v>18</v>
      </c>
      <c r="F29" s="29" t="s">
        <v>102</v>
      </c>
      <c r="G29" s="28" t="s">
        <v>149</v>
      </c>
      <c r="H29" s="30" t="s">
        <v>128</v>
      </c>
      <c r="I29" s="28" t="s">
        <v>150</v>
      </c>
      <c r="J29" s="30"/>
      <c r="K29" s="28" t="s">
        <v>52</v>
      </c>
      <c r="L29" s="28" t="s">
        <v>63</v>
      </c>
      <c r="M29" s="30"/>
      <c r="N29" s="30"/>
      <c r="O29" s="28" t="s">
        <v>149</v>
      </c>
      <c r="P29" s="28" t="s">
        <v>119</v>
      </c>
      <c r="Q29" s="28" t="s">
        <v>150</v>
      </c>
      <c r="R29" s="30"/>
      <c r="S29" s="29" t="str">
        <f>"520,0"</f>
        <v>520,0</v>
      </c>
      <c r="T29" s="28" t="str">
        <f>"423,7868"</f>
        <v>423,7868</v>
      </c>
      <c r="U29" s="29"/>
    </row>
    <row r="31" spans="1:21" ht="15">
      <c r="A31" s="47" t="s">
        <v>184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1">
      <c r="A32" s="22" t="s">
        <v>186</v>
      </c>
      <c r="B32" s="23" t="s">
        <v>187</v>
      </c>
      <c r="C32" s="23" t="s">
        <v>188</v>
      </c>
      <c r="D32" s="23" t="str">
        <f>"0,5716"</f>
        <v>0,5716</v>
      </c>
      <c r="E32" s="22" t="s">
        <v>18</v>
      </c>
      <c r="F32" s="22" t="s">
        <v>60</v>
      </c>
      <c r="G32" s="23" t="s">
        <v>119</v>
      </c>
      <c r="H32" s="23" t="s">
        <v>129</v>
      </c>
      <c r="I32" s="24" t="s">
        <v>189</v>
      </c>
      <c r="J32" s="24"/>
      <c r="K32" s="23" t="s">
        <v>190</v>
      </c>
      <c r="L32" s="23" t="s">
        <v>191</v>
      </c>
      <c r="M32" s="23" t="s">
        <v>126</v>
      </c>
      <c r="N32" s="24"/>
      <c r="O32" s="23" t="s">
        <v>128</v>
      </c>
      <c r="P32" s="23" t="s">
        <v>129</v>
      </c>
      <c r="Q32" s="24" t="s">
        <v>192</v>
      </c>
      <c r="R32" s="24"/>
      <c r="S32" s="22" t="str">
        <f>"550,0"</f>
        <v>550,0</v>
      </c>
      <c r="T32" s="23" t="str">
        <f>"314,3800"</f>
        <v>314,3800</v>
      </c>
      <c r="U32" s="22"/>
    </row>
    <row r="33" spans="1:21">
      <c r="A33" s="25" t="s">
        <v>194</v>
      </c>
      <c r="B33" s="26" t="s">
        <v>195</v>
      </c>
      <c r="C33" s="26" t="s">
        <v>196</v>
      </c>
      <c r="D33" s="26" t="str">
        <f>"0,5683"</f>
        <v>0,5683</v>
      </c>
      <c r="E33" s="25" t="s">
        <v>59</v>
      </c>
      <c r="F33" s="25" t="s">
        <v>60</v>
      </c>
      <c r="G33" s="27" t="s">
        <v>197</v>
      </c>
      <c r="H33" s="26" t="s">
        <v>197</v>
      </c>
      <c r="I33" s="27" t="s">
        <v>198</v>
      </c>
      <c r="J33" s="27"/>
      <c r="K33" s="26" t="s">
        <v>199</v>
      </c>
      <c r="L33" s="26" t="s">
        <v>169</v>
      </c>
      <c r="M33" s="26" t="s">
        <v>136</v>
      </c>
      <c r="N33" s="27"/>
      <c r="O33" s="26" t="s">
        <v>200</v>
      </c>
      <c r="P33" s="26" t="s">
        <v>201</v>
      </c>
      <c r="Q33" s="27" t="s">
        <v>168</v>
      </c>
      <c r="R33" s="27"/>
      <c r="S33" s="25" t="str">
        <f>"685,0"</f>
        <v>685,0</v>
      </c>
      <c r="T33" s="26" t="str">
        <f>"389,2855"</f>
        <v>389,2855</v>
      </c>
      <c r="U33" s="25"/>
    </row>
    <row r="34" spans="1:21">
      <c r="A34" s="25" t="s">
        <v>202</v>
      </c>
      <c r="B34" s="26" t="s">
        <v>203</v>
      </c>
      <c r="C34" s="26" t="s">
        <v>204</v>
      </c>
      <c r="D34" s="26" t="str">
        <f>"0,5661"</f>
        <v>0,5661</v>
      </c>
      <c r="E34" s="25" t="s">
        <v>18</v>
      </c>
      <c r="F34" s="25" t="s">
        <v>95</v>
      </c>
      <c r="G34" s="27" t="s">
        <v>78</v>
      </c>
      <c r="H34" s="27" t="s">
        <v>78</v>
      </c>
      <c r="I34" s="27" t="s">
        <v>78</v>
      </c>
      <c r="J34" s="27"/>
      <c r="K34" s="27" t="s">
        <v>142</v>
      </c>
      <c r="L34" s="27"/>
      <c r="M34" s="27"/>
      <c r="N34" s="27"/>
      <c r="O34" s="27" t="s">
        <v>118</v>
      </c>
      <c r="P34" s="27"/>
      <c r="Q34" s="27"/>
      <c r="R34" s="27"/>
      <c r="S34" s="25" t="str">
        <f>"0.00"</f>
        <v>0.00</v>
      </c>
      <c r="T34" s="26" t="str">
        <f>"0,0000"</f>
        <v>0,0000</v>
      </c>
      <c r="U34" s="25"/>
    </row>
    <row r="35" spans="1:21">
      <c r="A35" s="29" t="s">
        <v>194</v>
      </c>
      <c r="B35" s="28" t="s">
        <v>205</v>
      </c>
      <c r="C35" s="28" t="s">
        <v>196</v>
      </c>
      <c r="D35" s="28" t="str">
        <f>"0,5683"</f>
        <v>0,5683</v>
      </c>
      <c r="E35" s="29" t="s">
        <v>59</v>
      </c>
      <c r="F35" s="29" t="s">
        <v>60</v>
      </c>
      <c r="G35" s="30" t="s">
        <v>197</v>
      </c>
      <c r="H35" s="28" t="s">
        <v>197</v>
      </c>
      <c r="I35" s="30" t="s">
        <v>198</v>
      </c>
      <c r="J35" s="30"/>
      <c r="K35" s="28" t="s">
        <v>199</v>
      </c>
      <c r="L35" s="28" t="s">
        <v>169</v>
      </c>
      <c r="M35" s="28" t="s">
        <v>136</v>
      </c>
      <c r="N35" s="30"/>
      <c r="O35" s="28" t="s">
        <v>200</v>
      </c>
      <c r="P35" s="28" t="s">
        <v>201</v>
      </c>
      <c r="Q35" s="30" t="s">
        <v>168</v>
      </c>
      <c r="R35" s="30"/>
      <c r="S35" s="29" t="str">
        <f>"685,0"</f>
        <v>685,0</v>
      </c>
      <c r="T35" s="28" t="str">
        <f>"397,0712"</f>
        <v>397,0712</v>
      </c>
      <c r="U35" s="29"/>
    </row>
    <row r="37" spans="1:21" ht="15">
      <c r="E37" s="12" t="s">
        <v>64</v>
      </c>
    </row>
    <row r="38" spans="1:21" ht="15">
      <c r="E38" s="12" t="s">
        <v>65</v>
      </c>
    </row>
    <row r="39" spans="1:21" ht="15">
      <c r="E39" s="12" t="s">
        <v>66</v>
      </c>
    </row>
    <row r="40" spans="1:21">
      <c r="E40" s="4" t="s">
        <v>67</v>
      </c>
    </row>
    <row r="41" spans="1:21">
      <c r="E41" s="4" t="s">
        <v>68</v>
      </c>
    </row>
    <row r="42" spans="1:21">
      <c r="E42" s="4" t="s">
        <v>69</v>
      </c>
    </row>
    <row r="45" spans="1:21" ht="18">
      <c r="A45" s="13" t="s">
        <v>70</v>
      </c>
      <c r="B45" s="14"/>
    </row>
    <row r="46" spans="1:21" ht="15">
      <c r="A46" s="15" t="s">
        <v>71</v>
      </c>
      <c r="B46" s="16"/>
    </row>
    <row r="47" spans="1:21" ht="14.25">
      <c r="A47" s="18"/>
      <c r="B47" s="19" t="s">
        <v>206</v>
      </c>
    </row>
    <row r="48" spans="1:21" ht="15">
      <c r="A48" s="20" t="s">
        <v>0</v>
      </c>
      <c r="B48" s="20" t="s">
        <v>73</v>
      </c>
      <c r="C48" s="20" t="s">
        <v>74</v>
      </c>
      <c r="D48" s="20" t="s">
        <v>75</v>
      </c>
      <c r="E48" s="20" t="s">
        <v>11</v>
      </c>
    </row>
    <row r="49" spans="1:5">
      <c r="A49" s="17" t="s">
        <v>106</v>
      </c>
      <c r="B49" s="5" t="s">
        <v>207</v>
      </c>
      <c r="C49" s="5" t="s">
        <v>87</v>
      </c>
      <c r="D49" s="5" t="s">
        <v>208</v>
      </c>
      <c r="E49" s="21" t="s">
        <v>209</v>
      </c>
    </row>
    <row r="50" spans="1:5">
      <c r="A50" s="17" t="s">
        <v>98</v>
      </c>
      <c r="B50" s="5" t="s">
        <v>210</v>
      </c>
      <c r="C50" s="5" t="s">
        <v>87</v>
      </c>
      <c r="D50" s="5" t="s">
        <v>119</v>
      </c>
      <c r="E50" s="21" t="s">
        <v>211</v>
      </c>
    </row>
    <row r="51" spans="1:5">
      <c r="A51" s="17" t="s">
        <v>90</v>
      </c>
      <c r="B51" s="5" t="s">
        <v>210</v>
      </c>
      <c r="C51" s="5" t="s">
        <v>87</v>
      </c>
      <c r="D51" s="5" t="s">
        <v>208</v>
      </c>
      <c r="E51" s="21" t="s">
        <v>212</v>
      </c>
    </row>
    <row r="54" spans="1:5" ht="15">
      <c r="A54" s="15" t="s">
        <v>213</v>
      </c>
      <c r="B54" s="16"/>
    </row>
    <row r="55" spans="1:5" ht="14.25">
      <c r="A55" s="18"/>
      <c r="B55" s="19" t="s">
        <v>214</v>
      </c>
    </row>
    <row r="56" spans="1:5" ht="15">
      <c r="A56" s="20" t="s">
        <v>0</v>
      </c>
      <c r="B56" s="20" t="s">
        <v>73</v>
      </c>
      <c r="C56" s="20" t="s">
        <v>74</v>
      </c>
      <c r="D56" s="20" t="s">
        <v>75</v>
      </c>
      <c r="E56" s="20" t="s">
        <v>11</v>
      </c>
    </row>
    <row r="57" spans="1:5">
      <c r="A57" s="17" t="s">
        <v>130</v>
      </c>
      <c r="B57" s="5" t="s">
        <v>215</v>
      </c>
      <c r="C57" s="5" t="s">
        <v>87</v>
      </c>
      <c r="D57" s="5" t="s">
        <v>82</v>
      </c>
      <c r="E57" s="21" t="s">
        <v>216</v>
      </c>
    </row>
    <row r="59" spans="1:5" ht="14.25">
      <c r="A59" s="18"/>
      <c r="B59" s="19" t="s">
        <v>72</v>
      </c>
    </row>
    <row r="60" spans="1:5" ht="15">
      <c r="A60" s="20" t="s">
        <v>0</v>
      </c>
      <c r="B60" s="20" t="s">
        <v>73</v>
      </c>
      <c r="C60" s="20" t="s">
        <v>74</v>
      </c>
      <c r="D60" s="20" t="s">
        <v>75</v>
      </c>
      <c r="E60" s="20" t="s">
        <v>11</v>
      </c>
    </row>
    <row r="61" spans="1:5">
      <c r="A61" s="17" t="s">
        <v>162</v>
      </c>
      <c r="B61" s="5" t="s">
        <v>76</v>
      </c>
      <c r="C61" s="5" t="s">
        <v>217</v>
      </c>
      <c r="D61" s="5" t="s">
        <v>218</v>
      </c>
      <c r="E61" s="21" t="s">
        <v>219</v>
      </c>
    </row>
    <row r="62" spans="1:5">
      <c r="A62" s="17" t="s">
        <v>113</v>
      </c>
      <c r="B62" s="5" t="s">
        <v>76</v>
      </c>
      <c r="C62" s="5" t="s">
        <v>81</v>
      </c>
      <c r="D62" s="5" t="s">
        <v>220</v>
      </c>
      <c r="E62" s="21" t="s">
        <v>221</v>
      </c>
    </row>
    <row r="63" spans="1:5">
      <c r="A63" s="17" t="s">
        <v>185</v>
      </c>
      <c r="B63" s="5" t="s">
        <v>76</v>
      </c>
      <c r="C63" s="5" t="s">
        <v>222</v>
      </c>
      <c r="D63" s="5" t="s">
        <v>223</v>
      </c>
      <c r="E63" s="21" t="s">
        <v>224</v>
      </c>
    </row>
    <row r="65" spans="1:5" ht="14.25">
      <c r="A65" s="18"/>
      <c r="B65" s="19" t="s">
        <v>80</v>
      </c>
    </row>
    <row r="66" spans="1:5" ht="15">
      <c r="A66" s="20" t="s">
        <v>0</v>
      </c>
      <c r="B66" s="20" t="s">
        <v>73</v>
      </c>
      <c r="C66" s="20" t="s">
        <v>74</v>
      </c>
      <c r="D66" s="20" t="s">
        <v>75</v>
      </c>
      <c r="E66" s="20" t="s">
        <v>11</v>
      </c>
    </row>
    <row r="67" spans="1:5">
      <c r="A67" s="17" t="s">
        <v>162</v>
      </c>
      <c r="B67" s="5" t="s">
        <v>80</v>
      </c>
      <c r="C67" s="5" t="s">
        <v>217</v>
      </c>
      <c r="D67" s="5" t="s">
        <v>218</v>
      </c>
      <c r="E67" s="21" t="s">
        <v>219</v>
      </c>
    </row>
    <row r="68" spans="1:5">
      <c r="A68" s="17" t="s">
        <v>137</v>
      </c>
      <c r="B68" s="5" t="s">
        <v>80</v>
      </c>
      <c r="C68" s="5" t="s">
        <v>87</v>
      </c>
      <c r="D68" s="5" t="s">
        <v>225</v>
      </c>
      <c r="E68" s="21" t="s">
        <v>226</v>
      </c>
    </row>
    <row r="69" spans="1:5">
      <c r="A69" s="17" t="s">
        <v>193</v>
      </c>
      <c r="B69" s="5" t="s">
        <v>80</v>
      </c>
      <c r="C69" s="5" t="s">
        <v>222</v>
      </c>
      <c r="D69" s="5" t="s">
        <v>227</v>
      </c>
      <c r="E69" s="21" t="s">
        <v>228</v>
      </c>
    </row>
    <row r="70" spans="1:5">
      <c r="A70" s="17" t="s">
        <v>145</v>
      </c>
      <c r="B70" s="5" t="s">
        <v>80</v>
      </c>
      <c r="C70" s="5" t="s">
        <v>229</v>
      </c>
      <c r="D70" s="5" t="s">
        <v>230</v>
      </c>
      <c r="E70" s="21" t="s">
        <v>231</v>
      </c>
    </row>
    <row r="71" spans="1:5">
      <c r="A71" s="17" t="s">
        <v>173</v>
      </c>
      <c r="B71" s="5" t="s">
        <v>80</v>
      </c>
      <c r="C71" s="5" t="s">
        <v>217</v>
      </c>
      <c r="D71" s="5" t="s">
        <v>232</v>
      </c>
      <c r="E71" s="21" t="s">
        <v>233</v>
      </c>
    </row>
    <row r="72" spans="1:5">
      <c r="A72" s="17" t="s">
        <v>152</v>
      </c>
      <c r="B72" s="5" t="s">
        <v>80</v>
      </c>
      <c r="C72" s="5" t="s">
        <v>229</v>
      </c>
      <c r="D72" s="5" t="s">
        <v>234</v>
      </c>
      <c r="E72" s="21" t="s">
        <v>235</v>
      </c>
    </row>
    <row r="74" spans="1:5" ht="14.25">
      <c r="A74" s="18"/>
      <c r="B74" s="19" t="s">
        <v>206</v>
      </c>
    </row>
    <row r="75" spans="1:5" ht="15">
      <c r="A75" s="20" t="s">
        <v>0</v>
      </c>
      <c r="B75" s="20" t="s">
        <v>73</v>
      </c>
      <c r="C75" s="20" t="s">
        <v>74</v>
      </c>
      <c r="D75" s="20" t="s">
        <v>75</v>
      </c>
      <c r="E75" s="20" t="s">
        <v>11</v>
      </c>
    </row>
    <row r="76" spans="1:5">
      <c r="A76" s="17" t="s">
        <v>120</v>
      </c>
      <c r="B76" s="5" t="s">
        <v>207</v>
      </c>
      <c r="C76" s="5" t="s">
        <v>77</v>
      </c>
      <c r="D76" s="5" t="s">
        <v>236</v>
      </c>
      <c r="E76" s="21" t="s">
        <v>237</v>
      </c>
    </row>
    <row r="77" spans="1:5">
      <c r="A77" s="17" t="s">
        <v>180</v>
      </c>
      <c r="B77" s="5" t="s">
        <v>238</v>
      </c>
      <c r="C77" s="5" t="s">
        <v>217</v>
      </c>
      <c r="D77" s="5" t="s">
        <v>239</v>
      </c>
      <c r="E77" s="21" t="s">
        <v>240</v>
      </c>
    </row>
    <row r="78" spans="1:5">
      <c r="A78" s="17" t="s">
        <v>193</v>
      </c>
      <c r="B78" s="5" t="s">
        <v>241</v>
      </c>
      <c r="C78" s="5" t="s">
        <v>222</v>
      </c>
      <c r="D78" s="5" t="s">
        <v>227</v>
      </c>
      <c r="E78" s="21" t="s">
        <v>242</v>
      </c>
    </row>
    <row r="79" spans="1:5">
      <c r="A79" s="17" t="s">
        <v>157</v>
      </c>
      <c r="B79" s="5" t="s">
        <v>241</v>
      </c>
      <c r="C79" s="5" t="s">
        <v>229</v>
      </c>
      <c r="D79" s="5" t="s">
        <v>243</v>
      </c>
      <c r="E79" s="21" t="s">
        <v>244</v>
      </c>
    </row>
  </sheetData>
  <mergeCells count="20">
    <mergeCell ref="A16:T16"/>
    <mergeCell ref="A20:T20"/>
    <mergeCell ref="A25:T25"/>
    <mergeCell ref="A31:T31"/>
    <mergeCell ref="S3:S4"/>
    <mergeCell ref="T3:T4"/>
    <mergeCell ref="U3:U4"/>
    <mergeCell ref="A5:T5"/>
    <mergeCell ref="A10:T10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7" width="5.85546875" style="5" bestFit="1" customWidth="1"/>
    <col min="8" max="8" width="4.5703125" style="53" bestFit="1" customWidth="1"/>
    <col min="9" max="9" width="6.5703125" style="4" bestFit="1" customWidth="1"/>
    <col min="10" max="10" width="9.5703125" style="5" bestFit="1" customWidth="1"/>
    <col min="11" max="11" width="7.42578125" style="4" bestFit="1" customWidth="1"/>
    <col min="12" max="16384" width="9.140625" style="3"/>
  </cols>
  <sheetData>
    <row r="1" spans="1:11" s="2" customFormat="1" ht="29.1" customHeight="1">
      <c r="A1" s="33" t="s">
        <v>1727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1726</v>
      </c>
      <c r="H3" s="43"/>
      <c r="I3" s="48" t="s">
        <v>499</v>
      </c>
      <c r="J3" s="43" t="s">
        <v>6</v>
      </c>
      <c r="K3" s="46" t="s">
        <v>5</v>
      </c>
    </row>
    <row r="4" spans="1:11" s="1" customFormat="1" ht="23.25" customHeight="1" thickBot="1">
      <c r="A4" s="40"/>
      <c r="B4" s="42"/>
      <c r="C4" s="42"/>
      <c r="D4" s="42"/>
      <c r="E4" s="42"/>
      <c r="F4" s="45"/>
      <c r="G4" s="31" t="s">
        <v>1725</v>
      </c>
      <c r="H4" s="55" t="s">
        <v>1724</v>
      </c>
      <c r="I4" s="49"/>
      <c r="J4" s="42"/>
      <c r="K4" s="50"/>
    </row>
    <row r="5" spans="1:11" s="5" customFormat="1" ht="15">
      <c r="A5" s="51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4"/>
    </row>
    <row r="6" spans="1:11" s="5" customFormat="1">
      <c r="A6" s="9" t="s">
        <v>1723</v>
      </c>
      <c r="B6" s="10" t="s">
        <v>1722</v>
      </c>
      <c r="C6" s="10" t="s">
        <v>982</v>
      </c>
      <c r="D6" s="10" t="str">
        <f>"0,8809"</f>
        <v>0,8809</v>
      </c>
      <c r="E6" s="9" t="s">
        <v>18</v>
      </c>
      <c r="F6" s="9" t="s">
        <v>95</v>
      </c>
      <c r="G6" s="10" t="s">
        <v>1721</v>
      </c>
      <c r="H6" s="54" t="s">
        <v>1720</v>
      </c>
      <c r="I6" s="9" t="str">
        <f>"1680,0"</f>
        <v>1680,0</v>
      </c>
      <c r="J6" s="10" t="str">
        <f>"1479,8280"</f>
        <v>1479,8280</v>
      </c>
      <c r="K6" s="9"/>
    </row>
    <row r="7" spans="1:11" s="5" customFormat="1">
      <c r="A7" s="4"/>
      <c r="E7" s="4"/>
      <c r="F7" s="4"/>
      <c r="H7" s="53"/>
      <c r="I7" s="4"/>
      <c r="K7" s="4"/>
    </row>
    <row r="8" spans="1:11" ht="15">
      <c r="E8" s="12" t="s">
        <v>64</v>
      </c>
    </row>
    <row r="9" spans="1:11" ht="15">
      <c r="E9" s="12" t="s">
        <v>65</v>
      </c>
    </row>
    <row r="10" spans="1:11" ht="15">
      <c r="E10" s="12" t="s">
        <v>66</v>
      </c>
    </row>
    <row r="11" spans="1:11">
      <c r="E11" s="4" t="s">
        <v>67</v>
      </c>
    </row>
    <row r="12" spans="1:11">
      <c r="E12" s="4" t="s">
        <v>68</v>
      </c>
    </row>
    <row r="13" spans="1:11">
      <c r="E13" s="4" t="s">
        <v>69</v>
      </c>
    </row>
    <row r="16" spans="1:11" ht="18">
      <c r="A16" s="13" t="s">
        <v>70</v>
      </c>
      <c r="B16" s="14"/>
    </row>
    <row r="17" spans="1:5" s="3" customFormat="1" ht="15">
      <c r="A17" s="15" t="s">
        <v>71</v>
      </c>
      <c r="B17" s="32"/>
      <c r="C17" s="5"/>
      <c r="D17" s="5"/>
      <c r="E17" s="4"/>
    </row>
    <row r="18" spans="1:5" s="3" customFormat="1" ht="14.25">
      <c r="A18" s="18"/>
      <c r="B18" s="19" t="s">
        <v>80</v>
      </c>
      <c r="C18" s="5"/>
      <c r="D18" s="5"/>
      <c r="E18" s="4"/>
    </row>
    <row r="19" spans="1:5" s="3" customFormat="1" ht="15">
      <c r="A19" s="20" t="s">
        <v>0</v>
      </c>
      <c r="B19" s="20" t="s">
        <v>73</v>
      </c>
      <c r="C19" s="20" t="s">
        <v>74</v>
      </c>
      <c r="D19" s="20" t="s">
        <v>75</v>
      </c>
      <c r="E19" s="20" t="s">
        <v>11</v>
      </c>
    </row>
    <row r="20" spans="1:5" s="3" customFormat="1">
      <c r="A20" s="17" t="s">
        <v>1719</v>
      </c>
      <c r="B20" s="5" t="s">
        <v>80</v>
      </c>
      <c r="C20" s="5" t="s">
        <v>87</v>
      </c>
      <c r="D20" s="5" t="s">
        <v>1718</v>
      </c>
      <c r="E20" s="21" t="s">
        <v>1717</v>
      </c>
    </row>
  </sheetData>
  <mergeCells count="12">
    <mergeCell ref="F3:F4"/>
    <mergeCell ref="G3:H3"/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35"/>
  <sheetViews>
    <sheetView zoomScaleNormal="100" workbookViewId="0">
      <selection sqref="A1:U2"/>
    </sheetView>
  </sheetViews>
  <sheetFormatPr defaultRowHeight="12.75"/>
  <cols>
    <col min="1" max="1" width="27" style="4" bestFit="1" customWidth="1"/>
    <col min="2" max="2" width="26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9.140625" style="4" bestFit="1" customWidth="1"/>
    <col min="7" max="9" width="5.5703125" style="5" bestFit="1" customWidth="1"/>
    <col min="10" max="10" width="5" style="5" bestFit="1" customWidth="1"/>
    <col min="11" max="13" width="4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15.5703125" style="4" bestFit="1" customWidth="1"/>
    <col min="22" max="16384" width="9.140625" style="3"/>
  </cols>
  <sheetData>
    <row r="1" spans="1:21" s="2" customFormat="1" ht="29.1" customHeight="1">
      <c r="A1" s="33" t="s">
        <v>1691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</row>
    <row r="2" spans="1:2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2</v>
      </c>
      <c r="H3" s="43"/>
      <c r="I3" s="43"/>
      <c r="J3" s="46"/>
      <c r="K3" s="39" t="s">
        <v>3</v>
      </c>
      <c r="L3" s="43"/>
      <c r="M3" s="43"/>
      <c r="N3" s="46"/>
      <c r="O3" s="39" t="s">
        <v>4</v>
      </c>
      <c r="P3" s="43"/>
      <c r="Q3" s="43"/>
      <c r="R3" s="46"/>
      <c r="S3" s="48" t="s">
        <v>9</v>
      </c>
      <c r="T3" s="43" t="s">
        <v>6</v>
      </c>
      <c r="U3" s="46" t="s">
        <v>5</v>
      </c>
    </row>
    <row r="4" spans="1:21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49"/>
      <c r="T4" s="42"/>
      <c r="U4" s="50"/>
    </row>
    <row r="5" spans="1:21" s="5" customFormat="1" ht="15">
      <c r="A5" s="51" t="s">
        <v>13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4"/>
    </row>
    <row r="6" spans="1:21" s="5" customFormat="1">
      <c r="A6" s="9" t="s">
        <v>15</v>
      </c>
      <c r="B6" s="10" t="s">
        <v>16</v>
      </c>
      <c r="C6" s="10" t="s">
        <v>17</v>
      </c>
      <c r="D6" s="10" t="str">
        <f>"1,2097"</f>
        <v>1,2097</v>
      </c>
      <c r="E6" s="9" t="s">
        <v>18</v>
      </c>
      <c r="F6" s="9" t="s">
        <v>19</v>
      </c>
      <c r="G6" s="11" t="s">
        <v>20</v>
      </c>
      <c r="H6" s="10" t="s">
        <v>20</v>
      </c>
      <c r="I6" s="11" t="s">
        <v>21</v>
      </c>
      <c r="J6" s="11"/>
      <c r="K6" s="10" t="s">
        <v>22</v>
      </c>
      <c r="L6" s="11" t="s">
        <v>23</v>
      </c>
      <c r="M6" s="11" t="s">
        <v>23</v>
      </c>
      <c r="N6" s="11"/>
      <c r="O6" s="10" t="s">
        <v>24</v>
      </c>
      <c r="P6" s="10" t="s">
        <v>25</v>
      </c>
      <c r="Q6" s="11" t="s">
        <v>26</v>
      </c>
      <c r="R6" s="11"/>
      <c r="S6" s="9" t="str">
        <f>"220,0"</f>
        <v>220,0</v>
      </c>
      <c r="T6" s="10" t="str">
        <f>"266,1340"</f>
        <v>266,1340</v>
      </c>
      <c r="U6" s="9"/>
    </row>
    <row r="7" spans="1:21" s="5" customFormat="1">
      <c r="A7" s="4"/>
      <c r="E7" s="4"/>
      <c r="F7" s="4"/>
      <c r="S7" s="4"/>
      <c r="U7" s="4"/>
    </row>
    <row r="8" spans="1:21" ht="15">
      <c r="A8" s="47" t="s">
        <v>27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1">
      <c r="A9" s="9" t="s">
        <v>29</v>
      </c>
      <c r="B9" s="10" t="s">
        <v>30</v>
      </c>
      <c r="C9" s="10" t="s">
        <v>31</v>
      </c>
      <c r="D9" s="10" t="str">
        <f>"0,9916"</f>
        <v>0,9916</v>
      </c>
      <c r="E9" s="9" t="s">
        <v>18</v>
      </c>
      <c r="F9" s="9" t="s">
        <v>19</v>
      </c>
      <c r="G9" s="11" t="s">
        <v>32</v>
      </c>
      <c r="H9" s="10" t="s">
        <v>32</v>
      </c>
      <c r="I9" s="10" t="s">
        <v>33</v>
      </c>
      <c r="J9" s="11"/>
      <c r="K9" s="10" t="s">
        <v>21</v>
      </c>
      <c r="L9" s="10" t="s">
        <v>34</v>
      </c>
      <c r="M9" s="10" t="s">
        <v>35</v>
      </c>
      <c r="N9" s="11" t="s">
        <v>36</v>
      </c>
      <c r="O9" s="11" t="s">
        <v>37</v>
      </c>
      <c r="P9" s="10" t="s">
        <v>38</v>
      </c>
      <c r="Q9" s="11" t="s">
        <v>39</v>
      </c>
      <c r="R9" s="11"/>
      <c r="S9" s="9" t="str">
        <f>"370,0"</f>
        <v>370,0</v>
      </c>
      <c r="T9" s="10" t="str">
        <f>"366,8920"</f>
        <v>366,8920</v>
      </c>
      <c r="U9" s="9" t="s">
        <v>40</v>
      </c>
    </row>
    <row r="11" spans="1:21" ht="15">
      <c r="A11" s="47" t="s">
        <v>41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1">
      <c r="A12" s="9" t="s">
        <v>43</v>
      </c>
      <c r="B12" s="10" t="s">
        <v>44</v>
      </c>
      <c r="C12" s="10" t="s">
        <v>45</v>
      </c>
      <c r="D12" s="10" t="str">
        <f>"0,9312"</f>
        <v>0,9312</v>
      </c>
      <c r="E12" s="9" t="s">
        <v>18</v>
      </c>
      <c r="F12" s="9" t="s">
        <v>46</v>
      </c>
      <c r="G12" s="10" t="s">
        <v>47</v>
      </c>
      <c r="H12" s="10" t="s">
        <v>48</v>
      </c>
      <c r="I12" s="10" t="s">
        <v>49</v>
      </c>
      <c r="J12" s="11"/>
      <c r="K12" s="10" t="s">
        <v>50</v>
      </c>
      <c r="L12" s="10" t="s">
        <v>51</v>
      </c>
      <c r="M12" s="11" t="s">
        <v>22</v>
      </c>
      <c r="N12" s="11"/>
      <c r="O12" s="10" t="s">
        <v>52</v>
      </c>
      <c r="P12" s="10" t="s">
        <v>24</v>
      </c>
      <c r="Q12" s="10" t="s">
        <v>53</v>
      </c>
      <c r="R12" s="11"/>
      <c r="S12" s="9" t="str">
        <f>"185,0"</f>
        <v>185,0</v>
      </c>
      <c r="T12" s="10" t="str">
        <f>"172,2628"</f>
        <v>172,2628</v>
      </c>
      <c r="U12" s="9"/>
    </row>
    <row r="14" spans="1:21" ht="15">
      <c r="A14" s="47" t="s">
        <v>54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1">
      <c r="A15" s="9" t="s">
        <v>56</v>
      </c>
      <c r="B15" s="10" t="s">
        <v>57</v>
      </c>
      <c r="C15" s="10" t="s">
        <v>58</v>
      </c>
      <c r="D15" s="10" t="str">
        <f>"0,8361"</f>
        <v>0,8361</v>
      </c>
      <c r="E15" s="9" t="s">
        <v>59</v>
      </c>
      <c r="F15" s="9" t="s">
        <v>60</v>
      </c>
      <c r="G15" s="11" t="s">
        <v>61</v>
      </c>
      <c r="H15" s="10" t="s">
        <v>61</v>
      </c>
      <c r="I15" s="11" t="s">
        <v>62</v>
      </c>
      <c r="J15" s="11"/>
      <c r="K15" s="10" t="s">
        <v>51</v>
      </c>
      <c r="L15" s="10" t="s">
        <v>22</v>
      </c>
      <c r="M15" s="11" t="s">
        <v>23</v>
      </c>
      <c r="N15" s="11"/>
      <c r="O15" s="11" t="s">
        <v>21</v>
      </c>
      <c r="P15" s="10" t="s">
        <v>24</v>
      </c>
      <c r="Q15" s="10" t="s">
        <v>63</v>
      </c>
      <c r="R15" s="11"/>
      <c r="S15" s="9" t="str">
        <f>"197,5"</f>
        <v>197,5</v>
      </c>
      <c r="T15" s="10" t="str">
        <f>"165,1297"</f>
        <v>165,1297</v>
      </c>
      <c r="U15" s="9"/>
    </row>
    <row r="17" spans="1:5" ht="15">
      <c r="E17" s="12" t="s">
        <v>64</v>
      </c>
    </row>
    <row r="18" spans="1:5" ht="15">
      <c r="E18" s="12" t="s">
        <v>65</v>
      </c>
    </row>
    <row r="19" spans="1:5" ht="15">
      <c r="E19" s="12" t="s">
        <v>66</v>
      </c>
    </row>
    <row r="20" spans="1:5">
      <c r="E20" s="4" t="s">
        <v>67</v>
      </c>
    </row>
    <row r="21" spans="1:5">
      <c r="E21" s="4" t="s">
        <v>68</v>
      </c>
    </row>
    <row r="22" spans="1:5">
      <c r="E22" s="4" t="s">
        <v>69</v>
      </c>
    </row>
    <row r="25" spans="1:5" ht="18">
      <c r="A25" s="13" t="s">
        <v>70</v>
      </c>
      <c r="B25" s="14"/>
    </row>
    <row r="26" spans="1:5" ht="15">
      <c r="A26" s="15" t="s">
        <v>71</v>
      </c>
      <c r="B26" s="16"/>
    </row>
    <row r="27" spans="1:5" ht="14.25">
      <c r="A27" s="18"/>
      <c r="B27" s="19" t="s">
        <v>72</v>
      </c>
    </row>
    <row r="28" spans="1:5" ht="15">
      <c r="A28" s="20" t="s">
        <v>0</v>
      </c>
      <c r="B28" s="20" t="s">
        <v>73</v>
      </c>
      <c r="C28" s="20" t="s">
        <v>74</v>
      </c>
      <c r="D28" s="20" t="s">
        <v>75</v>
      </c>
      <c r="E28" s="20" t="s">
        <v>11</v>
      </c>
    </row>
    <row r="29" spans="1:5">
      <c r="A29" s="17" t="s">
        <v>42</v>
      </c>
      <c r="B29" s="5" t="s">
        <v>76</v>
      </c>
      <c r="C29" s="5" t="s">
        <v>77</v>
      </c>
      <c r="D29" s="5" t="s">
        <v>78</v>
      </c>
      <c r="E29" s="21" t="s">
        <v>79</v>
      </c>
    </row>
    <row r="31" spans="1:5" ht="14.25">
      <c r="A31" s="18"/>
      <c r="B31" s="19" t="s">
        <v>80</v>
      </c>
    </row>
    <row r="32" spans="1:5" ht="15">
      <c r="A32" s="20" t="s">
        <v>0</v>
      </c>
      <c r="B32" s="20" t="s">
        <v>73</v>
      </c>
      <c r="C32" s="20" t="s">
        <v>74</v>
      </c>
      <c r="D32" s="20" t="s">
        <v>75</v>
      </c>
      <c r="E32" s="20" t="s">
        <v>11</v>
      </c>
    </row>
    <row r="33" spans="1:5">
      <c r="A33" s="17" t="s">
        <v>28</v>
      </c>
      <c r="B33" s="5" t="s">
        <v>80</v>
      </c>
      <c r="C33" s="5" t="s">
        <v>81</v>
      </c>
      <c r="D33" s="5" t="s">
        <v>82</v>
      </c>
      <c r="E33" s="21" t="s">
        <v>83</v>
      </c>
    </row>
    <row r="34" spans="1:5">
      <c r="A34" s="17" t="s">
        <v>14</v>
      </c>
      <c r="B34" s="5" t="s">
        <v>80</v>
      </c>
      <c r="C34" s="5" t="s">
        <v>84</v>
      </c>
      <c r="D34" s="5" t="s">
        <v>85</v>
      </c>
      <c r="E34" s="21" t="s">
        <v>86</v>
      </c>
    </row>
    <row r="35" spans="1:5">
      <c r="A35" s="17" t="s">
        <v>55</v>
      </c>
      <c r="B35" s="5" t="s">
        <v>80</v>
      </c>
      <c r="C35" s="5" t="s">
        <v>87</v>
      </c>
      <c r="D35" s="5" t="s">
        <v>88</v>
      </c>
      <c r="E35" s="21" t="s">
        <v>89</v>
      </c>
    </row>
  </sheetData>
  <mergeCells count="17">
    <mergeCell ref="A5:T5"/>
    <mergeCell ref="A8:T8"/>
    <mergeCell ref="A11:T11"/>
    <mergeCell ref="A14:T14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sqref="A1:K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28.7109375" style="4" bestFit="1" customWidth="1"/>
    <col min="7" max="7" width="6.85546875" style="5" bestFit="1" customWidth="1"/>
    <col min="8" max="8" width="4.5703125" style="53" bestFit="1" customWidth="1"/>
    <col min="9" max="9" width="6.5703125" style="4" bestFit="1" customWidth="1"/>
    <col min="10" max="10" width="9.5703125" style="5" bestFit="1" customWidth="1"/>
    <col min="11" max="11" width="7.42578125" style="4" bestFit="1" customWidth="1"/>
    <col min="12" max="16384" width="9.140625" style="3"/>
  </cols>
  <sheetData>
    <row r="1" spans="1:11" s="2" customFormat="1" ht="29.1" customHeight="1">
      <c r="A1" s="33" t="s">
        <v>1785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1726</v>
      </c>
      <c r="H3" s="43"/>
      <c r="I3" s="48" t="s">
        <v>499</v>
      </c>
      <c r="J3" s="43" t="s">
        <v>6</v>
      </c>
      <c r="K3" s="46" t="s">
        <v>5</v>
      </c>
    </row>
    <row r="4" spans="1:11" s="1" customFormat="1" ht="23.25" customHeight="1" thickBot="1">
      <c r="A4" s="40"/>
      <c r="B4" s="42"/>
      <c r="C4" s="42"/>
      <c r="D4" s="42"/>
      <c r="E4" s="42"/>
      <c r="F4" s="45"/>
      <c r="G4" s="31" t="s">
        <v>1725</v>
      </c>
      <c r="H4" s="55" t="s">
        <v>1724</v>
      </c>
      <c r="I4" s="49"/>
      <c r="J4" s="42"/>
      <c r="K4" s="50"/>
    </row>
    <row r="5" spans="1:11" s="5" customFormat="1" ht="15">
      <c r="A5" s="51" t="s">
        <v>41</v>
      </c>
      <c r="B5" s="52"/>
      <c r="C5" s="52"/>
      <c r="D5" s="52"/>
      <c r="E5" s="52"/>
      <c r="F5" s="52"/>
      <c r="G5" s="52"/>
      <c r="H5" s="52"/>
      <c r="I5" s="52"/>
      <c r="J5" s="52"/>
      <c r="K5" s="4"/>
    </row>
    <row r="6" spans="1:11" s="5" customFormat="1">
      <c r="A6" s="9" t="s">
        <v>1784</v>
      </c>
      <c r="B6" s="10" t="s">
        <v>955</v>
      </c>
      <c r="C6" s="10" t="s">
        <v>956</v>
      </c>
      <c r="D6" s="10" t="str">
        <f>"0,7522"</f>
        <v>0,7522</v>
      </c>
      <c r="E6" s="9" t="s">
        <v>18</v>
      </c>
      <c r="F6" s="9" t="s">
        <v>95</v>
      </c>
      <c r="G6" s="10" t="s">
        <v>1783</v>
      </c>
      <c r="H6" s="54" t="s">
        <v>1782</v>
      </c>
      <c r="I6" s="9" t="str">
        <f>"1147,5"</f>
        <v>1147,5</v>
      </c>
      <c r="J6" s="10" t="str">
        <f>"863,1495"</f>
        <v>863,1495</v>
      </c>
      <c r="K6" s="9"/>
    </row>
    <row r="7" spans="1:11" s="5" customFormat="1">
      <c r="A7" s="4"/>
      <c r="E7" s="4"/>
      <c r="F7" s="4"/>
      <c r="H7" s="53"/>
      <c r="I7" s="4"/>
      <c r="K7" s="4"/>
    </row>
    <row r="8" spans="1:11" ht="1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</row>
    <row r="9" spans="1:11">
      <c r="A9" s="22" t="s">
        <v>1781</v>
      </c>
      <c r="B9" s="23" t="s">
        <v>1780</v>
      </c>
      <c r="C9" s="23" t="s">
        <v>1779</v>
      </c>
      <c r="D9" s="23" t="str">
        <f>"0,7279"</f>
        <v>0,7279</v>
      </c>
      <c r="E9" s="22" t="s">
        <v>18</v>
      </c>
      <c r="F9" s="22" t="s">
        <v>95</v>
      </c>
      <c r="G9" s="23" t="s">
        <v>103</v>
      </c>
      <c r="H9" s="57" t="s">
        <v>1778</v>
      </c>
      <c r="I9" s="22" t="str">
        <f>"3430,0"</f>
        <v>3430,0</v>
      </c>
      <c r="J9" s="23" t="str">
        <f>"2496,6971"</f>
        <v>2496,6971</v>
      </c>
      <c r="K9" s="22"/>
    </row>
    <row r="10" spans="1:11">
      <c r="A10" s="29" t="s">
        <v>1777</v>
      </c>
      <c r="B10" s="28" t="s">
        <v>981</v>
      </c>
      <c r="C10" s="28" t="s">
        <v>982</v>
      </c>
      <c r="D10" s="28" t="str">
        <f>"0,7304"</f>
        <v>0,7304</v>
      </c>
      <c r="E10" s="29" t="s">
        <v>18</v>
      </c>
      <c r="F10" s="29" t="s">
        <v>983</v>
      </c>
      <c r="G10" s="28" t="s">
        <v>103</v>
      </c>
      <c r="H10" s="56" t="s">
        <v>1776</v>
      </c>
      <c r="I10" s="29" t="str">
        <f>"2240,0"</f>
        <v>2240,0</v>
      </c>
      <c r="J10" s="28" t="str">
        <f>"1636,2079"</f>
        <v>1636,2079</v>
      </c>
      <c r="K10" s="29"/>
    </row>
    <row r="12" spans="1:11" ht="15">
      <c r="A12" s="47" t="s">
        <v>305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1">
      <c r="A13" s="9" t="s">
        <v>1032</v>
      </c>
      <c r="B13" s="10" t="s">
        <v>1775</v>
      </c>
      <c r="C13" s="10" t="s">
        <v>309</v>
      </c>
      <c r="D13" s="10" t="str">
        <f>"0,6508"</f>
        <v>0,6508</v>
      </c>
      <c r="E13" s="9" t="s">
        <v>18</v>
      </c>
      <c r="F13" s="9" t="s">
        <v>350</v>
      </c>
      <c r="G13" s="10" t="s">
        <v>1774</v>
      </c>
      <c r="H13" s="54" t="s">
        <v>1773</v>
      </c>
      <c r="I13" s="9" t="str">
        <f>"1567,5"</f>
        <v>1567,5</v>
      </c>
      <c r="J13" s="10" t="str">
        <f>"1076,2361"</f>
        <v>1076,2361</v>
      </c>
      <c r="K13" s="9"/>
    </row>
    <row r="15" spans="1:11" ht="15">
      <c r="A15" s="47" t="s">
        <v>144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1">
      <c r="A16" s="9" t="s">
        <v>1669</v>
      </c>
      <c r="B16" s="10" t="s">
        <v>1670</v>
      </c>
      <c r="C16" s="10" t="s">
        <v>1301</v>
      </c>
      <c r="D16" s="10" t="str">
        <f>"0,6416"</f>
        <v>0,6416</v>
      </c>
      <c r="E16" s="9" t="s">
        <v>18</v>
      </c>
      <c r="F16" s="9" t="s">
        <v>796</v>
      </c>
      <c r="G16" s="10" t="s">
        <v>34</v>
      </c>
      <c r="H16" s="54" t="s">
        <v>738</v>
      </c>
      <c r="I16" s="9" t="str">
        <f>"2125,0"</f>
        <v>2125,0</v>
      </c>
      <c r="J16" s="10" t="str">
        <f>"1363,4000"</f>
        <v>1363,4000</v>
      </c>
      <c r="K16" s="9"/>
    </row>
    <row r="18" spans="1:11" ht="15">
      <c r="A18" s="47" t="s">
        <v>161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1">
      <c r="A19" s="22" t="s">
        <v>1772</v>
      </c>
      <c r="B19" s="23" t="s">
        <v>1366</v>
      </c>
      <c r="C19" s="23" t="s">
        <v>1771</v>
      </c>
      <c r="D19" s="23" t="str">
        <f>"0,6093"</f>
        <v>0,6093</v>
      </c>
      <c r="E19" s="22" t="s">
        <v>18</v>
      </c>
      <c r="F19" s="22" t="s">
        <v>95</v>
      </c>
      <c r="G19" s="23" t="s">
        <v>112</v>
      </c>
      <c r="H19" s="57" t="s">
        <v>1762</v>
      </c>
      <c r="I19" s="22" t="str">
        <f>"2590,0"</f>
        <v>2590,0</v>
      </c>
      <c r="J19" s="23" t="str">
        <f>"1578,0870"</f>
        <v>1578,0870</v>
      </c>
      <c r="K19" s="22"/>
    </row>
    <row r="20" spans="1:11">
      <c r="A20" s="29" t="s">
        <v>1770</v>
      </c>
      <c r="B20" s="28" t="s">
        <v>1769</v>
      </c>
      <c r="C20" s="28" t="s">
        <v>1768</v>
      </c>
      <c r="D20" s="28" t="str">
        <f>"0,5977"</f>
        <v>0,5977</v>
      </c>
      <c r="E20" s="29" t="s">
        <v>18</v>
      </c>
      <c r="F20" s="29" t="s">
        <v>371</v>
      </c>
      <c r="G20" s="28" t="s">
        <v>24</v>
      </c>
      <c r="H20" s="56" t="s">
        <v>1767</v>
      </c>
      <c r="I20" s="29" t="str">
        <f>"2185,0"</f>
        <v>2185,0</v>
      </c>
      <c r="J20" s="28" t="str">
        <f>"1394,7808"</f>
        <v>1394,7808</v>
      </c>
      <c r="K20" s="29"/>
    </row>
    <row r="22" spans="1:11" ht="15">
      <c r="A22" s="47" t="s">
        <v>184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1">
      <c r="A23" s="22" t="s">
        <v>1766</v>
      </c>
      <c r="B23" s="23" t="s">
        <v>1765</v>
      </c>
      <c r="C23" s="23" t="s">
        <v>1764</v>
      </c>
      <c r="D23" s="23" t="str">
        <f>"0,5772"</f>
        <v>0,5772</v>
      </c>
      <c r="E23" s="22" t="s">
        <v>18</v>
      </c>
      <c r="F23" s="22" t="s">
        <v>1151</v>
      </c>
      <c r="G23" s="23" t="s">
        <v>1763</v>
      </c>
      <c r="H23" s="57" t="s">
        <v>1762</v>
      </c>
      <c r="I23" s="22" t="str">
        <f>"2870,0"</f>
        <v>2870,0</v>
      </c>
      <c r="J23" s="23" t="str">
        <f>"1656,5640"</f>
        <v>1656,5640</v>
      </c>
      <c r="K23" s="22"/>
    </row>
    <row r="24" spans="1:11">
      <c r="A24" s="29" t="s">
        <v>1761</v>
      </c>
      <c r="B24" s="28" t="s">
        <v>1266</v>
      </c>
      <c r="C24" s="28" t="s">
        <v>1267</v>
      </c>
      <c r="D24" s="28" t="str">
        <f>"0,5666"</f>
        <v>0,5666</v>
      </c>
      <c r="E24" s="29" t="s">
        <v>18</v>
      </c>
      <c r="F24" s="29" t="s">
        <v>177</v>
      </c>
      <c r="G24" s="28" t="s">
        <v>1760</v>
      </c>
      <c r="H24" s="56" t="s">
        <v>1759</v>
      </c>
      <c r="I24" s="29" t="str">
        <f>"2365,0"</f>
        <v>2365,0</v>
      </c>
      <c r="J24" s="28" t="str">
        <f>"1340,1272"</f>
        <v>1340,1272</v>
      </c>
      <c r="K24" s="29"/>
    </row>
    <row r="26" spans="1:11" ht="15">
      <c r="E26" s="12" t="s">
        <v>64</v>
      </c>
    </row>
    <row r="27" spans="1:11" ht="15">
      <c r="E27" s="12" t="s">
        <v>65</v>
      </c>
    </row>
    <row r="28" spans="1:11" ht="15">
      <c r="E28" s="12" t="s">
        <v>66</v>
      </c>
    </row>
    <row r="29" spans="1:11">
      <c r="E29" s="4" t="s">
        <v>67</v>
      </c>
    </row>
    <row r="30" spans="1:11">
      <c r="E30" s="4" t="s">
        <v>68</v>
      </c>
    </row>
    <row r="31" spans="1:11">
      <c r="E31" s="4" t="s">
        <v>69</v>
      </c>
    </row>
    <row r="34" spans="1:5" s="3" customFormat="1" ht="18">
      <c r="A34" s="13" t="s">
        <v>70</v>
      </c>
      <c r="B34" s="14"/>
      <c r="C34" s="5"/>
      <c r="D34" s="5"/>
      <c r="E34" s="4"/>
    </row>
    <row r="35" spans="1:5" s="3" customFormat="1" ht="15">
      <c r="A35" s="15" t="s">
        <v>213</v>
      </c>
      <c r="B35" s="32"/>
      <c r="C35" s="5"/>
      <c r="D35" s="5"/>
      <c r="E35" s="4"/>
    </row>
    <row r="36" spans="1:5" s="3" customFormat="1" ht="14.25">
      <c r="A36" s="18"/>
      <c r="B36" s="19" t="s">
        <v>80</v>
      </c>
      <c r="C36" s="5"/>
      <c r="D36" s="5"/>
      <c r="E36" s="4"/>
    </row>
    <row r="37" spans="1:5" s="3" customFormat="1" ht="15">
      <c r="A37" s="20" t="s">
        <v>0</v>
      </c>
      <c r="B37" s="20" t="s">
        <v>73</v>
      </c>
      <c r="C37" s="20" t="s">
        <v>74</v>
      </c>
      <c r="D37" s="20" t="s">
        <v>75</v>
      </c>
      <c r="E37" s="20" t="s">
        <v>11</v>
      </c>
    </row>
    <row r="38" spans="1:5" s="3" customFormat="1">
      <c r="A38" s="17" t="s">
        <v>1758</v>
      </c>
      <c r="B38" s="5" t="s">
        <v>80</v>
      </c>
      <c r="C38" s="5" t="s">
        <v>87</v>
      </c>
      <c r="D38" s="5" t="s">
        <v>1757</v>
      </c>
      <c r="E38" s="21" t="s">
        <v>1756</v>
      </c>
    </row>
    <row r="39" spans="1:5" s="3" customFormat="1">
      <c r="A39" s="17" t="s">
        <v>1755</v>
      </c>
      <c r="B39" s="5" t="s">
        <v>80</v>
      </c>
      <c r="C39" s="5" t="s">
        <v>222</v>
      </c>
      <c r="D39" s="5" t="s">
        <v>1754</v>
      </c>
      <c r="E39" s="21" t="s">
        <v>1753</v>
      </c>
    </row>
    <row r="40" spans="1:5" s="3" customFormat="1">
      <c r="A40" s="17" t="s">
        <v>979</v>
      </c>
      <c r="B40" s="5" t="s">
        <v>80</v>
      </c>
      <c r="C40" s="5" t="s">
        <v>87</v>
      </c>
      <c r="D40" s="5" t="s">
        <v>1752</v>
      </c>
      <c r="E40" s="21" t="s">
        <v>1751</v>
      </c>
    </row>
    <row r="41" spans="1:5" s="3" customFormat="1">
      <c r="A41" s="17" t="s">
        <v>1750</v>
      </c>
      <c r="B41" s="5" t="s">
        <v>80</v>
      </c>
      <c r="C41" s="5" t="s">
        <v>217</v>
      </c>
      <c r="D41" s="5" t="s">
        <v>1749</v>
      </c>
      <c r="E41" s="21" t="s">
        <v>1748</v>
      </c>
    </row>
    <row r="42" spans="1:5" s="3" customFormat="1">
      <c r="A42" s="17" t="s">
        <v>1668</v>
      </c>
      <c r="B42" s="5" t="s">
        <v>80</v>
      </c>
      <c r="C42" s="5" t="s">
        <v>229</v>
      </c>
      <c r="D42" s="5" t="s">
        <v>1747</v>
      </c>
      <c r="E42" s="21" t="s">
        <v>1746</v>
      </c>
    </row>
    <row r="43" spans="1:5" s="3" customFormat="1">
      <c r="A43" s="17" t="s">
        <v>1264</v>
      </c>
      <c r="B43" s="5" t="s">
        <v>80</v>
      </c>
      <c r="C43" s="5" t="s">
        <v>222</v>
      </c>
      <c r="D43" s="5" t="s">
        <v>1745</v>
      </c>
      <c r="E43" s="21" t="s">
        <v>1744</v>
      </c>
    </row>
    <row r="44" spans="1:5" s="3" customFormat="1">
      <c r="A44" s="17" t="s">
        <v>1743</v>
      </c>
      <c r="B44" s="5" t="s">
        <v>80</v>
      </c>
      <c r="C44" s="5" t="s">
        <v>77</v>
      </c>
      <c r="D44" s="5" t="s">
        <v>1742</v>
      </c>
      <c r="E44" s="21" t="s">
        <v>1741</v>
      </c>
    </row>
    <row r="46" spans="1:5" s="3" customFormat="1" ht="14.25">
      <c r="A46" s="18"/>
      <c r="B46" s="19" t="s">
        <v>206</v>
      </c>
      <c r="C46" s="5"/>
      <c r="D46" s="5"/>
      <c r="E46" s="4"/>
    </row>
    <row r="47" spans="1:5" s="3" customFormat="1" ht="15">
      <c r="A47" s="20" t="s">
        <v>0</v>
      </c>
      <c r="B47" s="20" t="s">
        <v>73</v>
      </c>
      <c r="C47" s="20" t="s">
        <v>74</v>
      </c>
      <c r="D47" s="20" t="s">
        <v>75</v>
      </c>
      <c r="E47" s="20" t="s">
        <v>11</v>
      </c>
    </row>
    <row r="48" spans="1:5" s="3" customFormat="1">
      <c r="A48" s="17" t="s">
        <v>1740</v>
      </c>
      <c r="B48" s="5" t="s">
        <v>1730</v>
      </c>
      <c r="C48" s="5" t="s">
        <v>217</v>
      </c>
      <c r="D48" s="5" t="s">
        <v>1739</v>
      </c>
      <c r="E48" s="21" t="s">
        <v>1738</v>
      </c>
    </row>
    <row r="49" spans="1:5" s="3" customFormat="1">
      <c r="A49" s="17" t="s">
        <v>1031</v>
      </c>
      <c r="B49" s="5" t="s">
        <v>1730</v>
      </c>
      <c r="C49" s="5" t="s">
        <v>455</v>
      </c>
      <c r="D49" s="5" t="s">
        <v>1737</v>
      </c>
      <c r="E49" s="21" t="s">
        <v>1736</v>
      </c>
    </row>
  </sheetData>
  <mergeCells count="17">
    <mergeCell ref="F3:F4"/>
    <mergeCell ref="G3:H3"/>
    <mergeCell ref="A15:J15"/>
    <mergeCell ref="A18:J18"/>
    <mergeCell ref="A22:J22"/>
    <mergeCell ref="I3:I4"/>
    <mergeCell ref="J3:J4"/>
    <mergeCell ref="K3:K4"/>
    <mergeCell ref="A5:J5"/>
    <mergeCell ref="A8:J8"/>
    <mergeCell ref="A12:J12"/>
    <mergeCell ref="A1:K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7109375" style="4" bestFit="1" customWidth="1"/>
    <col min="7" max="9" width="4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1664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343</v>
      </c>
      <c r="B6" s="10" t="s">
        <v>344</v>
      </c>
      <c r="C6" s="10" t="s">
        <v>58</v>
      </c>
      <c r="D6" s="10" t="str">
        <f>"0,6885"</f>
        <v>0,6885</v>
      </c>
      <c r="E6" s="9" t="s">
        <v>18</v>
      </c>
      <c r="F6" s="9" t="s">
        <v>345</v>
      </c>
      <c r="G6" s="10" t="s">
        <v>51</v>
      </c>
      <c r="H6" s="10" t="s">
        <v>23</v>
      </c>
      <c r="I6" s="10" t="s">
        <v>47</v>
      </c>
      <c r="J6" s="11"/>
      <c r="K6" s="9" t="str">
        <f>"45,0"</f>
        <v>45,0</v>
      </c>
      <c r="L6" s="10" t="str">
        <f>"33,9903"</f>
        <v>33,9903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305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9" t="s">
        <v>347</v>
      </c>
      <c r="B9" s="10" t="s">
        <v>348</v>
      </c>
      <c r="C9" s="10" t="s">
        <v>349</v>
      </c>
      <c r="D9" s="10" t="str">
        <f>"0,6492"</f>
        <v>0,6492</v>
      </c>
      <c r="E9" s="9" t="s">
        <v>18</v>
      </c>
      <c r="F9" s="9" t="s">
        <v>350</v>
      </c>
      <c r="G9" s="10" t="s">
        <v>591</v>
      </c>
      <c r="H9" s="11" t="s">
        <v>294</v>
      </c>
      <c r="I9" s="11" t="s">
        <v>294</v>
      </c>
      <c r="J9" s="11"/>
      <c r="K9" s="9" t="str">
        <f>"55,0"</f>
        <v>55,0</v>
      </c>
      <c r="L9" s="10" t="str">
        <f>"37,6727"</f>
        <v>37,6727</v>
      </c>
      <c r="M9" s="9"/>
    </row>
    <row r="11" spans="1:13" ht="15">
      <c r="A11" s="47" t="s">
        <v>161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22" t="s">
        <v>1413</v>
      </c>
      <c r="B12" s="23" t="s">
        <v>1414</v>
      </c>
      <c r="C12" s="23" t="s">
        <v>165</v>
      </c>
      <c r="D12" s="23" t="str">
        <f>"0,5929"</f>
        <v>0,5929</v>
      </c>
      <c r="E12" s="22" t="s">
        <v>18</v>
      </c>
      <c r="F12" s="22" t="s">
        <v>1415</v>
      </c>
      <c r="G12" s="23" t="s">
        <v>591</v>
      </c>
      <c r="H12" s="23" t="s">
        <v>134</v>
      </c>
      <c r="I12" s="23" t="s">
        <v>337</v>
      </c>
      <c r="J12" s="24"/>
      <c r="K12" s="22" t="str">
        <f>"72,5"</f>
        <v>72,5</v>
      </c>
      <c r="L12" s="23" t="str">
        <f>"42,9816"</f>
        <v>42,9816</v>
      </c>
      <c r="M12" s="22"/>
    </row>
    <row r="13" spans="1:13">
      <c r="A13" s="29" t="s">
        <v>1681</v>
      </c>
      <c r="B13" s="28" t="s">
        <v>1682</v>
      </c>
      <c r="C13" s="28" t="s">
        <v>1683</v>
      </c>
      <c r="D13" s="28" t="str">
        <f>"0,5958"</f>
        <v>0,5958</v>
      </c>
      <c r="E13" s="29" t="s">
        <v>18</v>
      </c>
      <c r="F13" s="29" t="s">
        <v>1684</v>
      </c>
      <c r="G13" s="30" t="s">
        <v>134</v>
      </c>
      <c r="H13" s="28" t="s">
        <v>134</v>
      </c>
      <c r="I13" s="30" t="s">
        <v>337</v>
      </c>
      <c r="J13" s="30"/>
      <c r="K13" s="29" t="str">
        <f>"67,5"</f>
        <v>67,5</v>
      </c>
      <c r="L13" s="28" t="str">
        <f>"40,2199"</f>
        <v>40,2199</v>
      </c>
      <c r="M13" s="29"/>
    </row>
    <row r="15" spans="1:13" ht="15">
      <c r="A15" s="47" t="s">
        <v>448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3">
      <c r="A16" s="22" t="s">
        <v>572</v>
      </c>
      <c r="B16" s="23" t="s">
        <v>573</v>
      </c>
      <c r="C16" s="23" t="s">
        <v>574</v>
      </c>
      <c r="D16" s="23" t="str">
        <f>"0,5193"</f>
        <v>0,5193</v>
      </c>
      <c r="E16" s="22" t="s">
        <v>18</v>
      </c>
      <c r="F16" s="22" t="s">
        <v>575</v>
      </c>
      <c r="G16" s="23" t="s">
        <v>103</v>
      </c>
      <c r="H16" s="24" t="s">
        <v>52</v>
      </c>
      <c r="I16" s="24"/>
      <c r="J16" s="24"/>
      <c r="K16" s="22" t="str">
        <f>"70,0"</f>
        <v>70,0</v>
      </c>
      <c r="L16" s="23" t="str">
        <f>"36,3531"</f>
        <v>36,3531</v>
      </c>
      <c r="M16" s="22"/>
    </row>
    <row r="17" spans="1:13">
      <c r="A17" s="29" t="s">
        <v>572</v>
      </c>
      <c r="B17" s="28" t="s">
        <v>577</v>
      </c>
      <c r="C17" s="28" t="s">
        <v>574</v>
      </c>
      <c r="D17" s="28" t="str">
        <f>"0,5193"</f>
        <v>0,5193</v>
      </c>
      <c r="E17" s="29" t="s">
        <v>18</v>
      </c>
      <c r="F17" s="29" t="s">
        <v>575</v>
      </c>
      <c r="G17" s="28" t="s">
        <v>103</v>
      </c>
      <c r="H17" s="30" t="s">
        <v>52</v>
      </c>
      <c r="I17" s="30"/>
      <c r="J17" s="30"/>
      <c r="K17" s="29" t="str">
        <f>"70,0"</f>
        <v>70,0</v>
      </c>
      <c r="L17" s="28" t="str">
        <f>"37,9163"</f>
        <v>37,9163</v>
      </c>
      <c r="M17" s="29"/>
    </row>
    <row r="19" spans="1:13" ht="15">
      <c r="E19" s="12" t="s">
        <v>64</v>
      </c>
    </row>
    <row r="20" spans="1:13" ht="15">
      <c r="E20" s="12" t="s">
        <v>65</v>
      </c>
    </row>
    <row r="21" spans="1:13" ht="15">
      <c r="E21" s="12" t="s">
        <v>66</v>
      </c>
    </row>
    <row r="22" spans="1:13">
      <c r="E22" s="4" t="s">
        <v>67</v>
      </c>
    </row>
    <row r="23" spans="1:13">
      <c r="E23" s="4" t="s">
        <v>68</v>
      </c>
    </row>
    <row r="24" spans="1:13">
      <c r="E24" s="4" t="s">
        <v>69</v>
      </c>
    </row>
    <row r="27" spans="1:13" ht="18">
      <c r="A27" s="13" t="s">
        <v>70</v>
      </c>
      <c r="B27" s="14"/>
    </row>
    <row r="28" spans="1:13" ht="15">
      <c r="A28" s="15" t="s">
        <v>213</v>
      </c>
      <c r="B28" s="16"/>
    </row>
    <row r="29" spans="1:13" ht="14.25">
      <c r="A29" s="18"/>
      <c r="B29" s="19" t="s">
        <v>80</v>
      </c>
    </row>
    <row r="30" spans="1:13" ht="15">
      <c r="A30" s="20" t="s">
        <v>0</v>
      </c>
      <c r="B30" s="20" t="s">
        <v>73</v>
      </c>
      <c r="C30" s="20" t="s">
        <v>74</v>
      </c>
      <c r="D30" s="20" t="s">
        <v>75</v>
      </c>
      <c r="E30" s="20" t="s">
        <v>11</v>
      </c>
    </row>
    <row r="31" spans="1:13">
      <c r="A31" s="17" t="s">
        <v>1412</v>
      </c>
      <c r="B31" s="5" t="s">
        <v>80</v>
      </c>
      <c r="C31" s="5" t="s">
        <v>217</v>
      </c>
      <c r="D31" s="5" t="s">
        <v>337</v>
      </c>
      <c r="E31" s="21" t="s">
        <v>1685</v>
      </c>
    </row>
    <row r="32" spans="1:13">
      <c r="A32" s="17" t="s">
        <v>1680</v>
      </c>
      <c r="B32" s="5" t="s">
        <v>80</v>
      </c>
      <c r="C32" s="5" t="s">
        <v>217</v>
      </c>
      <c r="D32" s="5" t="s">
        <v>134</v>
      </c>
      <c r="E32" s="21" t="s">
        <v>1686</v>
      </c>
    </row>
    <row r="33" spans="1:5">
      <c r="A33" s="17" t="s">
        <v>571</v>
      </c>
      <c r="B33" s="5" t="s">
        <v>80</v>
      </c>
      <c r="C33" s="5" t="s">
        <v>473</v>
      </c>
      <c r="D33" s="5" t="s">
        <v>103</v>
      </c>
      <c r="E33" s="21" t="s">
        <v>1687</v>
      </c>
    </row>
    <row r="35" spans="1:5" ht="14.25">
      <c r="A35" s="18"/>
      <c r="B35" s="19" t="s">
        <v>206</v>
      </c>
    </row>
    <row r="36" spans="1:5" ht="15">
      <c r="A36" s="20" t="s">
        <v>0</v>
      </c>
      <c r="B36" s="20" t="s">
        <v>73</v>
      </c>
      <c r="C36" s="20" t="s">
        <v>74</v>
      </c>
      <c r="D36" s="20" t="s">
        <v>75</v>
      </c>
      <c r="E36" s="20" t="s">
        <v>11</v>
      </c>
    </row>
    <row r="37" spans="1:5">
      <c r="A37" s="17" t="s">
        <v>571</v>
      </c>
      <c r="B37" s="5" t="s">
        <v>241</v>
      </c>
      <c r="C37" s="5" t="s">
        <v>473</v>
      </c>
      <c r="D37" s="5" t="s">
        <v>103</v>
      </c>
      <c r="E37" s="21" t="s">
        <v>1688</v>
      </c>
    </row>
    <row r="38" spans="1:5">
      <c r="A38" s="17" t="s">
        <v>346</v>
      </c>
      <c r="B38" s="5" t="s">
        <v>210</v>
      </c>
      <c r="C38" s="5" t="s">
        <v>455</v>
      </c>
      <c r="D38" s="5" t="s">
        <v>591</v>
      </c>
      <c r="E38" s="21" t="s">
        <v>1689</v>
      </c>
    </row>
    <row r="39" spans="1:5">
      <c r="A39" s="17" t="s">
        <v>342</v>
      </c>
      <c r="B39" s="5" t="s">
        <v>210</v>
      </c>
      <c r="C39" s="5" t="s">
        <v>87</v>
      </c>
      <c r="D39" s="5" t="s">
        <v>47</v>
      </c>
      <c r="E39" s="21" t="s">
        <v>1690</v>
      </c>
    </row>
  </sheetData>
  <mergeCells count="15">
    <mergeCell ref="A15:L15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4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1664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1666</v>
      </c>
      <c r="B6" s="10" t="s">
        <v>1667</v>
      </c>
      <c r="C6" s="10" t="s">
        <v>133</v>
      </c>
      <c r="D6" s="10" t="str">
        <f>"0,6962"</f>
        <v>0,6962</v>
      </c>
      <c r="E6" s="9" t="s">
        <v>18</v>
      </c>
      <c r="F6" s="9" t="s">
        <v>95</v>
      </c>
      <c r="G6" s="10" t="s">
        <v>591</v>
      </c>
      <c r="H6" s="11"/>
      <c r="I6" s="11"/>
      <c r="J6" s="11"/>
      <c r="K6" s="9" t="str">
        <f>"55,0"</f>
        <v>55,0</v>
      </c>
      <c r="L6" s="10" t="str">
        <f>"39,9346"</f>
        <v>39,9346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305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22" t="s">
        <v>1032</v>
      </c>
      <c r="B9" s="23" t="s">
        <v>1033</v>
      </c>
      <c r="C9" s="23" t="s">
        <v>309</v>
      </c>
      <c r="D9" s="23" t="str">
        <f>"0,6508"</f>
        <v>0,6508</v>
      </c>
      <c r="E9" s="22" t="s">
        <v>18</v>
      </c>
      <c r="F9" s="22" t="s">
        <v>350</v>
      </c>
      <c r="G9" s="23" t="s">
        <v>287</v>
      </c>
      <c r="H9" s="24" t="s">
        <v>49</v>
      </c>
      <c r="I9" s="23" t="s">
        <v>49</v>
      </c>
      <c r="J9" s="24"/>
      <c r="K9" s="22" t="str">
        <f>"52,5"</f>
        <v>52,5</v>
      </c>
      <c r="L9" s="23" t="str">
        <f>"36,0462"</f>
        <v>36,0462</v>
      </c>
      <c r="M9" s="22"/>
    </row>
    <row r="10" spans="1:13">
      <c r="A10" s="29" t="s">
        <v>1040</v>
      </c>
      <c r="B10" s="28" t="s">
        <v>1041</v>
      </c>
      <c r="C10" s="28" t="s">
        <v>650</v>
      </c>
      <c r="D10" s="28" t="str">
        <f>"0,6618"</f>
        <v>0,6618</v>
      </c>
      <c r="E10" s="29" t="s">
        <v>18</v>
      </c>
      <c r="F10" s="29" t="s">
        <v>1042</v>
      </c>
      <c r="G10" s="28" t="s">
        <v>47</v>
      </c>
      <c r="H10" s="28" t="s">
        <v>48</v>
      </c>
      <c r="I10" s="28" t="s">
        <v>49</v>
      </c>
      <c r="J10" s="30"/>
      <c r="K10" s="29" t="str">
        <f>"52,5"</f>
        <v>52,5</v>
      </c>
      <c r="L10" s="28" t="str">
        <f>"48,3954"</f>
        <v>48,3954</v>
      </c>
      <c r="M10" s="29"/>
    </row>
    <row r="12" spans="1:13" ht="15">
      <c r="A12" s="47" t="s">
        <v>144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3">
      <c r="A13" s="9" t="s">
        <v>1669</v>
      </c>
      <c r="B13" s="10" t="s">
        <v>1670</v>
      </c>
      <c r="C13" s="10" t="s">
        <v>1301</v>
      </c>
      <c r="D13" s="10" t="str">
        <f>"0,6416"</f>
        <v>0,6416</v>
      </c>
      <c r="E13" s="9" t="s">
        <v>18</v>
      </c>
      <c r="F13" s="9" t="s">
        <v>796</v>
      </c>
      <c r="G13" s="10" t="s">
        <v>47</v>
      </c>
      <c r="H13" s="10" t="s">
        <v>591</v>
      </c>
      <c r="I13" s="10" t="s">
        <v>62</v>
      </c>
      <c r="J13" s="11"/>
      <c r="K13" s="9" t="str">
        <f>"65,0"</f>
        <v>65,0</v>
      </c>
      <c r="L13" s="10" t="str">
        <f>"41,7040"</f>
        <v>41,7040</v>
      </c>
      <c r="M13" s="9"/>
    </row>
    <row r="15" spans="1:13" ht="15">
      <c r="A15" s="47" t="s">
        <v>421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3">
      <c r="A16" s="9" t="s">
        <v>1672</v>
      </c>
      <c r="B16" s="10" t="s">
        <v>1673</v>
      </c>
      <c r="C16" s="10" t="s">
        <v>1674</v>
      </c>
      <c r="D16" s="10" t="str">
        <f>"0,5499"</f>
        <v>0,5499</v>
      </c>
      <c r="E16" s="9" t="s">
        <v>18</v>
      </c>
      <c r="F16" s="9" t="s">
        <v>95</v>
      </c>
      <c r="G16" s="10" t="s">
        <v>23</v>
      </c>
      <c r="H16" s="11" t="s">
        <v>48</v>
      </c>
      <c r="I16" s="11" t="s">
        <v>48</v>
      </c>
      <c r="J16" s="11"/>
      <c r="K16" s="9" t="str">
        <f>"40,0"</f>
        <v>40,0</v>
      </c>
      <c r="L16" s="10" t="str">
        <f>"31,8942"</f>
        <v>31,8942</v>
      </c>
      <c r="M16" s="9"/>
    </row>
    <row r="18" spans="1:5" ht="15">
      <c r="E18" s="12" t="s">
        <v>64</v>
      </c>
    </row>
    <row r="19" spans="1:5" ht="15">
      <c r="E19" s="12" t="s">
        <v>65</v>
      </c>
    </row>
    <row r="20" spans="1:5" ht="15">
      <c r="E20" s="12" t="s">
        <v>66</v>
      </c>
    </row>
    <row r="21" spans="1:5">
      <c r="E21" s="4" t="s">
        <v>67</v>
      </c>
    </row>
    <row r="22" spans="1:5">
      <c r="E22" s="4" t="s">
        <v>68</v>
      </c>
    </row>
    <row r="23" spans="1:5">
      <c r="E23" s="4" t="s">
        <v>69</v>
      </c>
    </row>
    <row r="26" spans="1:5" ht="18">
      <c r="A26" s="13" t="s">
        <v>70</v>
      </c>
      <c r="B26" s="14"/>
    </row>
    <row r="27" spans="1:5" ht="15">
      <c r="A27" s="15" t="s">
        <v>213</v>
      </c>
      <c r="B27" s="16"/>
    </row>
    <row r="28" spans="1:5" ht="14.25">
      <c r="A28" s="18"/>
      <c r="B28" s="19" t="s">
        <v>80</v>
      </c>
    </row>
    <row r="29" spans="1:5" ht="15">
      <c r="A29" s="20" t="s">
        <v>0</v>
      </c>
      <c r="B29" s="20" t="s">
        <v>73</v>
      </c>
      <c r="C29" s="20" t="s">
        <v>74</v>
      </c>
      <c r="D29" s="20" t="s">
        <v>75</v>
      </c>
      <c r="E29" s="20" t="s">
        <v>11</v>
      </c>
    </row>
    <row r="30" spans="1:5">
      <c r="A30" s="17" t="s">
        <v>1668</v>
      </c>
      <c r="B30" s="5" t="s">
        <v>80</v>
      </c>
      <c r="C30" s="5" t="s">
        <v>229</v>
      </c>
      <c r="D30" s="5" t="s">
        <v>62</v>
      </c>
      <c r="E30" s="21" t="s">
        <v>1675</v>
      </c>
    </row>
    <row r="32" spans="1:5" ht="14.25">
      <c r="A32" s="18"/>
      <c r="B32" s="19" t="s">
        <v>206</v>
      </c>
    </row>
    <row r="33" spans="1:5" ht="15">
      <c r="A33" s="20" t="s">
        <v>0</v>
      </c>
      <c r="B33" s="20" t="s">
        <v>73</v>
      </c>
      <c r="C33" s="20" t="s">
        <v>74</v>
      </c>
      <c r="D33" s="20" t="s">
        <v>75</v>
      </c>
      <c r="E33" s="20" t="s">
        <v>11</v>
      </c>
    </row>
    <row r="34" spans="1:5">
      <c r="A34" s="17" t="s">
        <v>1039</v>
      </c>
      <c r="B34" s="5" t="s">
        <v>238</v>
      </c>
      <c r="C34" s="5" t="s">
        <v>455</v>
      </c>
      <c r="D34" s="5" t="s">
        <v>49</v>
      </c>
      <c r="E34" s="21" t="s">
        <v>1676</v>
      </c>
    </row>
    <row r="35" spans="1:5">
      <c r="A35" s="17" t="s">
        <v>1665</v>
      </c>
      <c r="B35" s="5" t="s">
        <v>241</v>
      </c>
      <c r="C35" s="5" t="s">
        <v>87</v>
      </c>
      <c r="D35" s="5" t="s">
        <v>591</v>
      </c>
      <c r="E35" s="21" t="s">
        <v>1677</v>
      </c>
    </row>
    <row r="36" spans="1:5">
      <c r="A36" s="17" t="s">
        <v>1031</v>
      </c>
      <c r="B36" s="5" t="s">
        <v>210</v>
      </c>
      <c r="C36" s="5" t="s">
        <v>455</v>
      </c>
      <c r="D36" s="5" t="s">
        <v>49</v>
      </c>
      <c r="E36" s="21" t="s">
        <v>1678</v>
      </c>
    </row>
    <row r="37" spans="1:5">
      <c r="A37" s="17" t="s">
        <v>1671</v>
      </c>
      <c r="B37" s="5" t="s">
        <v>238</v>
      </c>
      <c r="C37" s="5" t="s">
        <v>468</v>
      </c>
      <c r="D37" s="5" t="s">
        <v>23</v>
      </c>
      <c r="E37" s="21" t="s">
        <v>1679</v>
      </c>
    </row>
  </sheetData>
  <mergeCells count="15">
    <mergeCell ref="A15:L15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4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1654</v>
      </c>
      <c r="B6" s="10" t="s">
        <v>1655</v>
      </c>
      <c r="C6" s="10" t="s">
        <v>93</v>
      </c>
      <c r="D6" s="10" t="str">
        <f>"0,8572"</f>
        <v>0,8572</v>
      </c>
      <c r="E6" s="9" t="s">
        <v>18</v>
      </c>
      <c r="F6" s="9" t="s">
        <v>733</v>
      </c>
      <c r="G6" s="10" t="s">
        <v>1656</v>
      </c>
      <c r="H6" s="10" t="s">
        <v>119</v>
      </c>
      <c r="I6" s="11"/>
      <c r="J6" s="11"/>
      <c r="K6" s="9" t="str">
        <f>"200,0"</f>
        <v>200,0</v>
      </c>
      <c r="L6" s="10" t="str">
        <f>"171,4300"</f>
        <v>171,4300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9" t="s">
        <v>885</v>
      </c>
      <c r="B9" s="10" t="s">
        <v>886</v>
      </c>
      <c r="C9" s="10" t="s">
        <v>1657</v>
      </c>
      <c r="D9" s="10" t="str">
        <f>"0,7064"</f>
        <v>0,7064</v>
      </c>
      <c r="E9" s="9" t="s">
        <v>18</v>
      </c>
      <c r="F9" s="9" t="s">
        <v>888</v>
      </c>
      <c r="G9" s="10" t="s">
        <v>124</v>
      </c>
      <c r="H9" s="10" t="s">
        <v>179</v>
      </c>
      <c r="I9" s="11" t="s">
        <v>149</v>
      </c>
      <c r="J9" s="11"/>
      <c r="K9" s="9" t="str">
        <f>"175,0"</f>
        <v>175,0</v>
      </c>
      <c r="L9" s="10" t="str">
        <f>"247,8581"</f>
        <v>247,8581</v>
      </c>
      <c r="M9" s="9"/>
    </row>
    <row r="11" spans="1:13" ht="15">
      <c r="A11" s="47" t="s">
        <v>184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9" t="s">
        <v>1659</v>
      </c>
      <c r="B12" s="10" t="s">
        <v>1660</v>
      </c>
      <c r="C12" s="10" t="s">
        <v>405</v>
      </c>
      <c r="D12" s="10" t="str">
        <f>"0,5625"</f>
        <v>0,5625</v>
      </c>
      <c r="E12" s="9" t="s">
        <v>18</v>
      </c>
      <c r="F12" s="9" t="s">
        <v>733</v>
      </c>
      <c r="G12" s="10" t="s">
        <v>167</v>
      </c>
      <c r="H12" s="11" t="s">
        <v>1363</v>
      </c>
      <c r="I12" s="11"/>
      <c r="J12" s="11"/>
      <c r="K12" s="9" t="str">
        <f>"280,0"</f>
        <v>280,0</v>
      </c>
      <c r="L12" s="10" t="str">
        <f>"157,5000"</f>
        <v>157,5000</v>
      </c>
      <c r="M12" s="9"/>
    </row>
    <row r="14" spans="1:13" ht="15">
      <c r="E14" s="12" t="s">
        <v>64</v>
      </c>
    </row>
    <row r="15" spans="1:13" ht="15">
      <c r="E15" s="12" t="s">
        <v>65</v>
      </c>
    </row>
    <row r="16" spans="1:13" ht="15">
      <c r="E16" s="12" t="s">
        <v>66</v>
      </c>
    </row>
    <row r="17" spans="1:5">
      <c r="E17" s="4" t="s">
        <v>67</v>
      </c>
    </row>
    <row r="18" spans="1:5">
      <c r="E18" s="4" t="s">
        <v>68</v>
      </c>
    </row>
    <row r="19" spans="1:5">
      <c r="E19" s="4" t="s">
        <v>69</v>
      </c>
    </row>
    <row r="22" spans="1:5" ht="18">
      <c r="A22" s="13" t="s">
        <v>70</v>
      </c>
      <c r="B22" s="14"/>
    </row>
    <row r="23" spans="1:5" ht="15">
      <c r="A23" s="15" t="s">
        <v>71</v>
      </c>
      <c r="B23" s="16"/>
    </row>
    <row r="24" spans="1:5" ht="14.25">
      <c r="A24" s="18"/>
      <c r="B24" s="19" t="s">
        <v>80</v>
      </c>
    </row>
    <row r="25" spans="1:5" ht="15">
      <c r="A25" s="20" t="s">
        <v>0</v>
      </c>
      <c r="B25" s="20" t="s">
        <v>73</v>
      </c>
      <c r="C25" s="20" t="s">
        <v>74</v>
      </c>
      <c r="D25" s="20" t="s">
        <v>75</v>
      </c>
      <c r="E25" s="20" t="s">
        <v>11</v>
      </c>
    </row>
    <row r="26" spans="1:5">
      <c r="A26" s="17" t="s">
        <v>1653</v>
      </c>
      <c r="B26" s="5" t="s">
        <v>80</v>
      </c>
      <c r="C26" s="5" t="s">
        <v>87</v>
      </c>
      <c r="D26" s="5" t="s">
        <v>119</v>
      </c>
      <c r="E26" s="21" t="s">
        <v>1661</v>
      </c>
    </row>
    <row r="29" spans="1:5" ht="15">
      <c r="A29" s="15" t="s">
        <v>213</v>
      </c>
      <c r="B29" s="16"/>
    </row>
    <row r="30" spans="1:5" ht="14.25">
      <c r="A30" s="18"/>
      <c r="B30" s="19" t="s">
        <v>80</v>
      </c>
    </row>
    <row r="31" spans="1:5" ht="15">
      <c r="A31" s="20" t="s">
        <v>0</v>
      </c>
      <c r="B31" s="20" t="s">
        <v>73</v>
      </c>
      <c r="C31" s="20" t="s">
        <v>74</v>
      </c>
      <c r="D31" s="20" t="s">
        <v>75</v>
      </c>
      <c r="E31" s="20" t="s">
        <v>11</v>
      </c>
    </row>
    <row r="32" spans="1:5">
      <c r="A32" s="17" t="s">
        <v>1658</v>
      </c>
      <c r="B32" s="5" t="s">
        <v>80</v>
      </c>
      <c r="C32" s="5" t="s">
        <v>222</v>
      </c>
      <c r="D32" s="5" t="s">
        <v>167</v>
      </c>
      <c r="E32" s="21" t="s">
        <v>1662</v>
      </c>
    </row>
    <row r="34" spans="1:5" ht="14.25">
      <c r="A34" s="18"/>
      <c r="B34" s="19" t="s">
        <v>206</v>
      </c>
    </row>
    <row r="35" spans="1:5" ht="15">
      <c r="A35" s="20" t="s">
        <v>0</v>
      </c>
      <c r="B35" s="20" t="s">
        <v>73</v>
      </c>
      <c r="C35" s="20" t="s">
        <v>74</v>
      </c>
      <c r="D35" s="20" t="s">
        <v>75</v>
      </c>
      <c r="E35" s="20" t="s">
        <v>11</v>
      </c>
    </row>
    <row r="36" spans="1:5">
      <c r="A36" s="17" t="s">
        <v>884</v>
      </c>
      <c r="B36" s="5" t="s">
        <v>890</v>
      </c>
      <c r="C36" s="5" t="s">
        <v>87</v>
      </c>
      <c r="D36" s="5" t="s">
        <v>179</v>
      </c>
      <c r="E36" s="21" t="s">
        <v>1663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33" t="s">
        <v>1713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4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728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9" t="s">
        <v>1645</v>
      </c>
      <c r="B6" s="10" t="s">
        <v>736</v>
      </c>
      <c r="C6" s="10" t="s">
        <v>1646</v>
      </c>
      <c r="D6" s="10" t="str">
        <f>"1,1076"</f>
        <v>1,1076</v>
      </c>
      <c r="E6" s="9" t="s">
        <v>18</v>
      </c>
      <c r="F6" s="9" t="s">
        <v>60</v>
      </c>
      <c r="G6" s="10" t="s">
        <v>125</v>
      </c>
      <c r="H6" s="10" t="s">
        <v>127</v>
      </c>
      <c r="I6" s="11" t="s">
        <v>32</v>
      </c>
      <c r="J6" s="11"/>
      <c r="K6" s="9" t="str">
        <f>"122,5"</f>
        <v>122,5</v>
      </c>
      <c r="L6" s="10" t="str">
        <f>"135,6810"</f>
        <v>135,6810</v>
      </c>
      <c r="M6" s="9"/>
    </row>
    <row r="7" spans="1:13" s="5" customFormat="1">
      <c r="A7" s="4"/>
      <c r="E7" s="4"/>
      <c r="F7" s="4"/>
      <c r="K7" s="4"/>
      <c r="M7" s="4"/>
    </row>
    <row r="8" spans="1:13" ht="1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>
      <c r="A9" s="9" t="s">
        <v>1648</v>
      </c>
      <c r="B9" s="10" t="s">
        <v>1649</v>
      </c>
      <c r="C9" s="10" t="s">
        <v>967</v>
      </c>
      <c r="D9" s="10" t="str">
        <f>"0,6892"</f>
        <v>0,6892</v>
      </c>
      <c r="E9" s="9" t="s">
        <v>59</v>
      </c>
      <c r="F9" s="9" t="s">
        <v>60</v>
      </c>
      <c r="G9" s="10" t="s">
        <v>178</v>
      </c>
      <c r="H9" s="10" t="s">
        <v>118</v>
      </c>
      <c r="I9" s="10" t="s">
        <v>252</v>
      </c>
      <c r="J9" s="11"/>
      <c r="K9" s="9" t="str">
        <f>"187,5"</f>
        <v>187,5</v>
      </c>
      <c r="L9" s="10" t="str">
        <f>"129,2250"</f>
        <v>129,2250</v>
      </c>
      <c r="M9" s="9"/>
    </row>
    <row r="11" spans="1:13" ht="15">
      <c r="A11" s="47" t="s">
        <v>144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>
      <c r="A12" s="9" t="s">
        <v>656</v>
      </c>
      <c r="B12" s="10" t="s">
        <v>657</v>
      </c>
      <c r="C12" s="10" t="s">
        <v>361</v>
      </c>
      <c r="D12" s="10" t="str">
        <f>"0,6145"</f>
        <v>0,6145</v>
      </c>
      <c r="E12" s="9" t="s">
        <v>59</v>
      </c>
      <c r="F12" s="9" t="s">
        <v>60</v>
      </c>
      <c r="G12" s="11" t="s">
        <v>33</v>
      </c>
      <c r="H12" s="10" t="s">
        <v>33</v>
      </c>
      <c r="I12" s="10" t="s">
        <v>249</v>
      </c>
      <c r="J12" s="11"/>
      <c r="K12" s="9" t="str">
        <f>"140,0"</f>
        <v>140,0</v>
      </c>
      <c r="L12" s="10" t="str">
        <f>"86,0370"</f>
        <v>86,0370</v>
      </c>
      <c r="M12" s="9"/>
    </row>
    <row r="14" spans="1:13" ht="15">
      <c r="E14" s="12" t="s">
        <v>64</v>
      </c>
    </row>
    <row r="15" spans="1:13" ht="15">
      <c r="E15" s="12" t="s">
        <v>65</v>
      </c>
    </row>
    <row r="16" spans="1:13" ht="15">
      <c r="E16" s="12" t="s">
        <v>66</v>
      </c>
    </row>
    <row r="17" spans="1:5">
      <c r="E17" s="4" t="s">
        <v>67</v>
      </c>
    </row>
    <row r="18" spans="1:5">
      <c r="E18" s="4" t="s">
        <v>68</v>
      </c>
    </row>
    <row r="19" spans="1:5">
      <c r="E19" s="4" t="s">
        <v>69</v>
      </c>
    </row>
    <row r="22" spans="1:5" ht="18">
      <c r="A22" s="13" t="s">
        <v>70</v>
      </c>
      <c r="B22" s="14"/>
    </row>
    <row r="23" spans="1:5" ht="15">
      <c r="A23" s="15" t="s">
        <v>71</v>
      </c>
      <c r="B23" s="16"/>
    </row>
    <row r="24" spans="1:5" ht="14.25">
      <c r="A24" s="18"/>
      <c r="B24" s="19" t="s">
        <v>80</v>
      </c>
    </row>
    <row r="25" spans="1:5" ht="15">
      <c r="A25" s="20" t="s">
        <v>0</v>
      </c>
      <c r="B25" s="20" t="s">
        <v>73</v>
      </c>
      <c r="C25" s="20" t="s">
        <v>74</v>
      </c>
      <c r="D25" s="20" t="s">
        <v>75</v>
      </c>
      <c r="E25" s="20" t="s">
        <v>11</v>
      </c>
    </row>
    <row r="26" spans="1:5">
      <c r="A26" s="17" t="s">
        <v>734</v>
      </c>
      <c r="B26" s="5" t="s">
        <v>80</v>
      </c>
      <c r="C26" s="5" t="s">
        <v>837</v>
      </c>
      <c r="D26" s="5" t="s">
        <v>127</v>
      </c>
      <c r="E26" s="21" t="s">
        <v>1650</v>
      </c>
    </row>
    <row r="29" spans="1:5" ht="15">
      <c r="A29" s="15" t="s">
        <v>213</v>
      </c>
      <c r="B29" s="16"/>
    </row>
    <row r="30" spans="1:5" ht="14.25">
      <c r="A30" s="18"/>
      <c r="B30" s="19" t="s">
        <v>214</v>
      </c>
    </row>
    <row r="31" spans="1:5" ht="15">
      <c r="A31" s="20" t="s">
        <v>0</v>
      </c>
      <c r="B31" s="20" t="s">
        <v>73</v>
      </c>
      <c r="C31" s="20" t="s">
        <v>74</v>
      </c>
      <c r="D31" s="20" t="s">
        <v>75</v>
      </c>
      <c r="E31" s="20" t="s">
        <v>11</v>
      </c>
    </row>
    <row r="32" spans="1:5">
      <c r="A32" s="17" t="s">
        <v>655</v>
      </c>
      <c r="B32" s="5" t="s">
        <v>701</v>
      </c>
      <c r="C32" s="5" t="s">
        <v>229</v>
      </c>
      <c r="D32" s="5" t="s">
        <v>249</v>
      </c>
      <c r="E32" s="21" t="s">
        <v>1651</v>
      </c>
    </row>
    <row r="34" spans="1:5" ht="14.25">
      <c r="A34" s="18"/>
      <c r="B34" s="19" t="s">
        <v>72</v>
      </c>
    </row>
    <row r="35" spans="1:5" ht="15">
      <c r="A35" s="20" t="s">
        <v>0</v>
      </c>
      <c r="B35" s="20" t="s">
        <v>73</v>
      </c>
      <c r="C35" s="20" t="s">
        <v>74</v>
      </c>
      <c r="D35" s="20" t="s">
        <v>75</v>
      </c>
      <c r="E35" s="20" t="s">
        <v>11</v>
      </c>
    </row>
    <row r="36" spans="1:5">
      <c r="A36" s="17" t="s">
        <v>1647</v>
      </c>
      <c r="B36" s="5" t="s">
        <v>76</v>
      </c>
      <c r="C36" s="5" t="s">
        <v>87</v>
      </c>
      <c r="D36" s="5" t="s">
        <v>252</v>
      </c>
      <c r="E36" s="21" t="s">
        <v>1652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1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9.140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13.28515625" style="4" bestFit="1" customWidth="1"/>
    <col min="14" max="16384" width="9.140625" style="3"/>
  </cols>
  <sheetData>
    <row r="1" spans="1:13" s="2" customFormat="1" ht="29.1" customHeight="1">
      <c r="A1" s="33" t="s">
        <v>1712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s="2" customFormat="1" ht="62.1" customHeight="1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s="1" customFormat="1" ht="12.75" customHeight="1">
      <c r="A3" s="39" t="s">
        <v>0</v>
      </c>
      <c r="B3" s="41" t="s">
        <v>10</v>
      </c>
      <c r="C3" s="41" t="s">
        <v>8</v>
      </c>
      <c r="D3" s="43" t="s">
        <v>11</v>
      </c>
      <c r="E3" s="43" t="s">
        <v>1</v>
      </c>
      <c r="F3" s="44" t="s">
        <v>12</v>
      </c>
      <c r="G3" s="39" t="s">
        <v>4</v>
      </c>
      <c r="H3" s="43"/>
      <c r="I3" s="43"/>
      <c r="J3" s="46"/>
      <c r="K3" s="48" t="s">
        <v>499</v>
      </c>
      <c r="L3" s="43" t="s">
        <v>6</v>
      </c>
      <c r="M3" s="46" t="s">
        <v>5</v>
      </c>
    </row>
    <row r="4" spans="1:13" s="1" customFormat="1" ht="23.25" customHeight="1" thickBot="1">
      <c r="A4" s="40"/>
      <c r="B4" s="42"/>
      <c r="C4" s="42"/>
      <c r="D4" s="42"/>
      <c r="E4" s="42"/>
      <c r="F4" s="45"/>
      <c r="G4" s="6">
        <v>1</v>
      </c>
      <c r="H4" s="7">
        <v>2</v>
      </c>
      <c r="I4" s="7">
        <v>3</v>
      </c>
      <c r="J4" s="8" t="s">
        <v>7</v>
      </c>
      <c r="K4" s="49"/>
      <c r="L4" s="42"/>
      <c r="M4" s="50"/>
    </row>
    <row r="5" spans="1:13" s="5" customFormat="1" ht="15">
      <c r="A5" s="51" t="s">
        <v>892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4"/>
    </row>
    <row r="6" spans="1:13" s="5" customFormat="1">
      <c r="A6" s="22" t="s">
        <v>1435</v>
      </c>
      <c r="B6" s="23" t="s">
        <v>1436</v>
      </c>
      <c r="C6" s="23" t="s">
        <v>1437</v>
      </c>
      <c r="D6" s="23" t="str">
        <f>"1,2767"</f>
        <v>1,2767</v>
      </c>
      <c r="E6" s="22" t="s">
        <v>18</v>
      </c>
      <c r="F6" s="22" t="s">
        <v>915</v>
      </c>
      <c r="G6" s="23" t="s">
        <v>20</v>
      </c>
      <c r="H6" s="23" t="s">
        <v>34</v>
      </c>
      <c r="I6" s="23" t="s">
        <v>52</v>
      </c>
      <c r="J6" s="24"/>
      <c r="K6" s="22" t="str">
        <f>"90,0"</f>
        <v>90,0</v>
      </c>
      <c r="L6" s="23" t="str">
        <f>"114,9030"</f>
        <v>114,9030</v>
      </c>
      <c r="M6" s="22"/>
    </row>
    <row r="7" spans="1:13" s="5" customFormat="1">
      <c r="A7" s="25" t="s">
        <v>894</v>
      </c>
      <c r="B7" s="26" t="s">
        <v>895</v>
      </c>
      <c r="C7" s="26" t="s">
        <v>896</v>
      </c>
      <c r="D7" s="26" t="str">
        <f>"1,2704"</f>
        <v>1,2704</v>
      </c>
      <c r="E7" s="25" t="s">
        <v>18</v>
      </c>
      <c r="F7" s="25" t="s">
        <v>60</v>
      </c>
      <c r="G7" s="26" t="s">
        <v>294</v>
      </c>
      <c r="H7" s="26" t="s">
        <v>62</v>
      </c>
      <c r="I7" s="26" t="s">
        <v>103</v>
      </c>
      <c r="J7" s="27"/>
      <c r="K7" s="25" t="str">
        <f>"70,0"</f>
        <v>70,0</v>
      </c>
      <c r="L7" s="26" t="str">
        <f>"88,9280"</f>
        <v>88,9280</v>
      </c>
      <c r="M7" s="25"/>
    </row>
    <row r="8" spans="1:13">
      <c r="A8" s="29" t="s">
        <v>894</v>
      </c>
      <c r="B8" s="28" t="s">
        <v>898</v>
      </c>
      <c r="C8" s="28" t="s">
        <v>896</v>
      </c>
      <c r="D8" s="28" t="str">
        <f>"1,2704"</f>
        <v>1,2704</v>
      </c>
      <c r="E8" s="29" t="s">
        <v>18</v>
      </c>
      <c r="F8" s="29" t="s">
        <v>60</v>
      </c>
      <c r="G8" s="28" t="s">
        <v>294</v>
      </c>
      <c r="H8" s="28" t="s">
        <v>62</v>
      </c>
      <c r="I8" s="28" t="s">
        <v>103</v>
      </c>
      <c r="J8" s="30"/>
      <c r="K8" s="29" t="str">
        <f>"70,0"</f>
        <v>70,0</v>
      </c>
      <c r="L8" s="28" t="str">
        <f>"91,6848"</f>
        <v>91,6848</v>
      </c>
      <c r="M8" s="29"/>
    </row>
    <row r="10" spans="1:13" ht="15">
      <c r="A10" s="47" t="s">
        <v>13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>
      <c r="A11" s="9" t="s">
        <v>284</v>
      </c>
      <c r="B11" s="10" t="s">
        <v>285</v>
      </c>
      <c r="C11" s="10" t="s">
        <v>286</v>
      </c>
      <c r="D11" s="10" t="str">
        <f>"1,1904"</f>
        <v>1,1904</v>
      </c>
      <c r="E11" s="9" t="s">
        <v>59</v>
      </c>
      <c r="F11" s="9" t="s">
        <v>60</v>
      </c>
      <c r="G11" s="11" t="s">
        <v>322</v>
      </c>
      <c r="H11" s="10" t="s">
        <v>322</v>
      </c>
      <c r="I11" s="11" t="s">
        <v>169</v>
      </c>
      <c r="J11" s="11"/>
      <c r="K11" s="9" t="str">
        <f>"127,5"</f>
        <v>127,5</v>
      </c>
      <c r="L11" s="10" t="str">
        <f>"151,7760"</f>
        <v>151,7760</v>
      </c>
      <c r="M11" s="9"/>
    </row>
    <row r="13" spans="1:13" ht="15">
      <c r="A13" s="47" t="s">
        <v>728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3">
      <c r="A14" s="22" t="s">
        <v>1439</v>
      </c>
      <c r="B14" s="23" t="s">
        <v>1440</v>
      </c>
      <c r="C14" s="23" t="s">
        <v>1441</v>
      </c>
      <c r="D14" s="23" t="str">
        <f>"1,1334"</f>
        <v>1,1334</v>
      </c>
      <c r="E14" s="22" t="s">
        <v>18</v>
      </c>
      <c r="F14" s="22" t="s">
        <v>19</v>
      </c>
      <c r="G14" s="24" t="s">
        <v>125</v>
      </c>
      <c r="H14" s="23" t="s">
        <v>125</v>
      </c>
      <c r="I14" s="23" t="s">
        <v>126</v>
      </c>
      <c r="J14" s="24"/>
      <c r="K14" s="22" t="str">
        <f>"120,0"</f>
        <v>120,0</v>
      </c>
      <c r="L14" s="23" t="str">
        <f>"136,0080"</f>
        <v>136,0080</v>
      </c>
      <c r="M14" s="22"/>
    </row>
    <row r="15" spans="1:13">
      <c r="A15" s="29" t="s">
        <v>1443</v>
      </c>
      <c r="B15" s="28" t="s">
        <v>1444</v>
      </c>
      <c r="C15" s="28" t="s">
        <v>1445</v>
      </c>
      <c r="D15" s="28" t="str">
        <f>"1,1110"</f>
        <v>1,1110</v>
      </c>
      <c r="E15" s="29" t="s">
        <v>18</v>
      </c>
      <c r="F15" s="29" t="s">
        <v>303</v>
      </c>
      <c r="G15" s="28" t="s">
        <v>63</v>
      </c>
      <c r="H15" s="28" t="s">
        <v>26</v>
      </c>
      <c r="I15" s="30" t="s">
        <v>191</v>
      </c>
      <c r="J15" s="30"/>
      <c r="K15" s="29" t="str">
        <f>"110,0"</f>
        <v>110,0</v>
      </c>
      <c r="L15" s="28" t="str">
        <f>"122,2100"</f>
        <v>122,2100</v>
      </c>
      <c r="M15" s="29"/>
    </row>
    <row r="17" spans="1:13" ht="15">
      <c r="A17" s="47" t="s">
        <v>288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3">
      <c r="A18" s="22" t="s">
        <v>588</v>
      </c>
      <c r="B18" s="23" t="s">
        <v>589</v>
      </c>
      <c r="C18" s="23" t="s">
        <v>1446</v>
      </c>
      <c r="D18" s="23" t="str">
        <f>"1,0764"</f>
        <v>1,0764</v>
      </c>
      <c r="E18" s="22" t="s">
        <v>18</v>
      </c>
      <c r="F18" s="22" t="s">
        <v>60</v>
      </c>
      <c r="G18" s="23" t="s">
        <v>136</v>
      </c>
      <c r="H18" s="23" t="s">
        <v>178</v>
      </c>
      <c r="I18" s="24" t="s">
        <v>179</v>
      </c>
      <c r="J18" s="24"/>
      <c r="K18" s="22" t="str">
        <f>"165,0"</f>
        <v>165,0</v>
      </c>
      <c r="L18" s="23" t="str">
        <f>"177,6060"</f>
        <v>177,6060</v>
      </c>
      <c r="M18" s="22"/>
    </row>
    <row r="19" spans="1:13">
      <c r="A19" s="25" t="s">
        <v>1448</v>
      </c>
      <c r="B19" s="26" t="s">
        <v>1449</v>
      </c>
      <c r="C19" s="26" t="s">
        <v>1450</v>
      </c>
      <c r="D19" s="26" t="str">
        <f>"1,0439"</f>
        <v>1,0439</v>
      </c>
      <c r="E19" s="25" t="s">
        <v>18</v>
      </c>
      <c r="F19" s="25" t="s">
        <v>95</v>
      </c>
      <c r="G19" s="27" t="s">
        <v>125</v>
      </c>
      <c r="H19" s="26" t="s">
        <v>127</v>
      </c>
      <c r="I19" s="26" t="s">
        <v>322</v>
      </c>
      <c r="J19" s="27"/>
      <c r="K19" s="25" t="str">
        <f>"127,5"</f>
        <v>127,5</v>
      </c>
      <c r="L19" s="26" t="str">
        <f>"133,0973"</f>
        <v>133,0973</v>
      </c>
      <c r="M19" s="25"/>
    </row>
    <row r="20" spans="1:13">
      <c r="A20" s="25" t="s">
        <v>1452</v>
      </c>
      <c r="B20" s="26" t="s">
        <v>1453</v>
      </c>
      <c r="C20" s="26" t="s">
        <v>1454</v>
      </c>
      <c r="D20" s="26" t="str">
        <f>"1,0732"</f>
        <v>1,0732</v>
      </c>
      <c r="E20" s="25" t="s">
        <v>18</v>
      </c>
      <c r="F20" s="25" t="s">
        <v>95</v>
      </c>
      <c r="G20" s="26" t="s">
        <v>52</v>
      </c>
      <c r="H20" s="27" t="s">
        <v>63</v>
      </c>
      <c r="I20" s="27" t="s">
        <v>25</v>
      </c>
      <c r="J20" s="27"/>
      <c r="K20" s="25" t="str">
        <f>"90,0"</f>
        <v>90,0</v>
      </c>
      <c r="L20" s="26" t="str">
        <f>"96,5880"</f>
        <v>96,5880</v>
      </c>
      <c r="M20" s="25"/>
    </row>
    <row r="21" spans="1:13">
      <c r="A21" s="29" t="s">
        <v>1456</v>
      </c>
      <c r="B21" s="28" t="s">
        <v>1457</v>
      </c>
      <c r="C21" s="28" t="s">
        <v>1458</v>
      </c>
      <c r="D21" s="28" t="str">
        <f>"1,0606"</f>
        <v>1,0606</v>
      </c>
      <c r="E21" s="29" t="s">
        <v>433</v>
      </c>
      <c r="F21" s="29" t="s">
        <v>95</v>
      </c>
      <c r="G21" s="30" t="s">
        <v>62</v>
      </c>
      <c r="H21" s="28" t="s">
        <v>134</v>
      </c>
      <c r="I21" s="28" t="s">
        <v>103</v>
      </c>
      <c r="J21" s="30"/>
      <c r="K21" s="29" t="str">
        <f>"70,0"</f>
        <v>70,0</v>
      </c>
      <c r="L21" s="28" t="str">
        <f>"74,2420"</f>
        <v>74,2420</v>
      </c>
      <c r="M21" s="29"/>
    </row>
    <row r="23" spans="1:13" ht="15">
      <c r="A23" s="47" t="s">
        <v>27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3">
      <c r="A24" s="22" t="s">
        <v>1460</v>
      </c>
      <c r="B24" s="23" t="s">
        <v>1461</v>
      </c>
      <c r="C24" s="23" t="s">
        <v>1462</v>
      </c>
      <c r="D24" s="23" t="str">
        <f>"1,0321"</f>
        <v>1,0321</v>
      </c>
      <c r="E24" s="22" t="s">
        <v>433</v>
      </c>
      <c r="F24" s="22" t="s">
        <v>95</v>
      </c>
      <c r="G24" s="23" t="s">
        <v>52</v>
      </c>
      <c r="H24" s="24" t="s">
        <v>24</v>
      </c>
      <c r="I24" s="24" t="s">
        <v>24</v>
      </c>
      <c r="J24" s="24"/>
      <c r="K24" s="22" t="str">
        <f>"90,0"</f>
        <v>90,0</v>
      </c>
      <c r="L24" s="23" t="str">
        <f>"92,8890"</f>
        <v>92,8890</v>
      </c>
      <c r="M24" s="22"/>
    </row>
    <row r="25" spans="1:13">
      <c r="A25" s="25" t="s">
        <v>1464</v>
      </c>
      <c r="B25" s="26" t="s">
        <v>1465</v>
      </c>
      <c r="C25" s="26" t="s">
        <v>116</v>
      </c>
      <c r="D25" s="26" t="str">
        <f>"1,0024"</f>
        <v>1,0024</v>
      </c>
      <c r="E25" s="25" t="s">
        <v>18</v>
      </c>
      <c r="F25" s="25" t="s">
        <v>275</v>
      </c>
      <c r="G25" s="26" t="s">
        <v>142</v>
      </c>
      <c r="H25" s="26" t="s">
        <v>689</v>
      </c>
      <c r="I25" s="26" t="s">
        <v>136</v>
      </c>
      <c r="J25" s="27"/>
      <c r="K25" s="25" t="str">
        <f>"150,0"</f>
        <v>150,0</v>
      </c>
      <c r="L25" s="26" t="str">
        <f>"150,3600"</f>
        <v>150,3600</v>
      </c>
      <c r="M25" s="25" t="s">
        <v>1466</v>
      </c>
    </row>
    <row r="26" spans="1:13">
      <c r="A26" s="29" t="s">
        <v>1468</v>
      </c>
      <c r="B26" s="28" t="s">
        <v>1469</v>
      </c>
      <c r="C26" s="28" t="s">
        <v>1470</v>
      </c>
      <c r="D26" s="28" t="str">
        <f>"1,0163"</f>
        <v>1,0163</v>
      </c>
      <c r="E26" s="29" t="s">
        <v>433</v>
      </c>
      <c r="F26" s="29" t="s">
        <v>95</v>
      </c>
      <c r="G26" s="28" t="s">
        <v>103</v>
      </c>
      <c r="H26" s="28" t="s">
        <v>96</v>
      </c>
      <c r="I26" s="28" t="s">
        <v>21</v>
      </c>
      <c r="J26" s="30"/>
      <c r="K26" s="29" t="str">
        <f>"80,0"</f>
        <v>80,0</v>
      </c>
      <c r="L26" s="28" t="str">
        <f>"81,3040"</f>
        <v>81,3040</v>
      </c>
      <c r="M26" s="29"/>
    </row>
    <row r="28" spans="1:13" ht="15">
      <c r="A28" s="47" t="s">
        <v>41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3">
      <c r="A29" s="22" t="s">
        <v>1472</v>
      </c>
      <c r="B29" s="23" t="s">
        <v>1473</v>
      </c>
      <c r="C29" s="23" t="s">
        <v>1474</v>
      </c>
      <c r="D29" s="23" t="str">
        <f>"0,9392"</f>
        <v>0,9392</v>
      </c>
      <c r="E29" s="22" t="s">
        <v>341</v>
      </c>
      <c r="F29" s="22" t="s">
        <v>415</v>
      </c>
      <c r="G29" s="23" t="s">
        <v>103</v>
      </c>
      <c r="H29" s="23" t="s">
        <v>21</v>
      </c>
      <c r="I29" s="23" t="s">
        <v>52</v>
      </c>
      <c r="J29" s="24"/>
      <c r="K29" s="22" t="str">
        <f>"90,0"</f>
        <v>90,0</v>
      </c>
      <c r="L29" s="23" t="str">
        <f>"84,5280"</f>
        <v>84,5280</v>
      </c>
      <c r="M29" s="22"/>
    </row>
    <row r="30" spans="1:13">
      <c r="A30" s="25" t="s">
        <v>1476</v>
      </c>
      <c r="B30" s="26" t="s">
        <v>1477</v>
      </c>
      <c r="C30" s="26" t="s">
        <v>1478</v>
      </c>
      <c r="D30" s="26" t="str">
        <f>"0,9535"</f>
        <v>0,9535</v>
      </c>
      <c r="E30" s="25" t="s">
        <v>94</v>
      </c>
      <c r="F30" s="25" t="s">
        <v>1049</v>
      </c>
      <c r="G30" s="26" t="s">
        <v>112</v>
      </c>
      <c r="H30" s="26" t="s">
        <v>97</v>
      </c>
      <c r="I30" s="26" t="s">
        <v>304</v>
      </c>
      <c r="J30" s="27"/>
      <c r="K30" s="25" t="str">
        <f>"107,5"</f>
        <v>107,5</v>
      </c>
      <c r="L30" s="26" t="str">
        <f>"103,5263"</f>
        <v>103,5263</v>
      </c>
      <c r="M30" s="25"/>
    </row>
    <row r="31" spans="1:13">
      <c r="A31" s="29" t="s">
        <v>760</v>
      </c>
      <c r="B31" s="28" t="s">
        <v>761</v>
      </c>
      <c r="C31" s="28" t="s">
        <v>925</v>
      </c>
      <c r="D31" s="28" t="str">
        <f>"0,9000"</f>
        <v>0,9000</v>
      </c>
      <c r="E31" s="29" t="s">
        <v>18</v>
      </c>
      <c r="F31" s="29" t="s">
        <v>60</v>
      </c>
      <c r="G31" s="28" t="s">
        <v>63</v>
      </c>
      <c r="H31" s="28" t="s">
        <v>125</v>
      </c>
      <c r="I31" s="28" t="s">
        <v>199</v>
      </c>
      <c r="J31" s="30"/>
      <c r="K31" s="29" t="str">
        <f>"132,5"</f>
        <v>132,5</v>
      </c>
      <c r="L31" s="28" t="str">
        <f>"129,0213"</f>
        <v>129,0213</v>
      </c>
      <c r="M31" s="29"/>
    </row>
    <row r="33" spans="1:13" ht="15">
      <c r="A33" s="47" t="s">
        <v>767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3">
      <c r="A34" s="9" t="s">
        <v>769</v>
      </c>
      <c r="B34" s="10" t="s">
        <v>770</v>
      </c>
      <c r="C34" s="10" t="s">
        <v>930</v>
      </c>
      <c r="D34" s="10" t="str">
        <f>"0,7173"</f>
        <v>0,7173</v>
      </c>
      <c r="E34" s="9" t="s">
        <v>18</v>
      </c>
      <c r="F34" s="9" t="s">
        <v>60</v>
      </c>
      <c r="G34" s="10" t="s">
        <v>25</v>
      </c>
      <c r="H34" s="10" t="s">
        <v>125</v>
      </c>
      <c r="I34" s="11" t="s">
        <v>127</v>
      </c>
      <c r="J34" s="11"/>
      <c r="K34" s="9" t="str">
        <f>"115,0"</f>
        <v>115,0</v>
      </c>
      <c r="L34" s="10" t="str">
        <f>"82,4895"</f>
        <v>82,4895</v>
      </c>
      <c r="M34" s="9"/>
    </row>
    <row r="36" spans="1:13" ht="15">
      <c r="A36" s="47" t="s">
        <v>27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3">
      <c r="A37" s="9" t="s">
        <v>1480</v>
      </c>
      <c r="B37" s="10" t="s">
        <v>1481</v>
      </c>
      <c r="C37" s="10" t="s">
        <v>1482</v>
      </c>
      <c r="D37" s="10" t="str">
        <f>"0,8510"</f>
        <v>0,8510</v>
      </c>
      <c r="E37" s="9" t="s">
        <v>18</v>
      </c>
      <c r="F37" s="9" t="s">
        <v>1483</v>
      </c>
      <c r="G37" s="10" t="s">
        <v>33</v>
      </c>
      <c r="H37" s="10" t="s">
        <v>136</v>
      </c>
      <c r="I37" s="11" t="s">
        <v>416</v>
      </c>
      <c r="J37" s="11"/>
      <c r="K37" s="9" t="str">
        <f>"150,0"</f>
        <v>150,0</v>
      </c>
      <c r="L37" s="10" t="str">
        <f>"127,6425"</f>
        <v>127,6425</v>
      </c>
      <c r="M37" s="9"/>
    </row>
    <row r="39" spans="1:13" ht="15">
      <c r="A39" s="47" t="s">
        <v>41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3">
      <c r="A40" s="22" t="s">
        <v>615</v>
      </c>
      <c r="B40" s="23" t="s">
        <v>616</v>
      </c>
      <c r="C40" s="23" t="s">
        <v>780</v>
      </c>
      <c r="D40" s="23" t="str">
        <f>"0,7561"</f>
        <v>0,7561</v>
      </c>
      <c r="E40" s="22" t="s">
        <v>59</v>
      </c>
      <c r="F40" s="22" t="s">
        <v>60</v>
      </c>
      <c r="G40" s="24" t="s">
        <v>124</v>
      </c>
      <c r="H40" s="23" t="s">
        <v>178</v>
      </c>
      <c r="I40" s="23" t="s">
        <v>118</v>
      </c>
      <c r="J40" s="24"/>
      <c r="K40" s="22" t="str">
        <f>"180,0"</f>
        <v>180,0</v>
      </c>
      <c r="L40" s="23" t="str">
        <f>"136,0980"</f>
        <v>136,0980</v>
      </c>
      <c r="M40" s="22"/>
    </row>
    <row r="41" spans="1:13">
      <c r="A41" s="29" t="s">
        <v>1485</v>
      </c>
      <c r="B41" s="28" t="s">
        <v>1486</v>
      </c>
      <c r="C41" s="28" t="s">
        <v>1487</v>
      </c>
      <c r="D41" s="28" t="str">
        <f>"0,7570"</f>
        <v>0,7570</v>
      </c>
      <c r="E41" s="29" t="s">
        <v>18</v>
      </c>
      <c r="F41" s="29" t="s">
        <v>19</v>
      </c>
      <c r="G41" s="28" t="s">
        <v>136</v>
      </c>
      <c r="H41" s="30" t="s">
        <v>170</v>
      </c>
      <c r="I41" s="28" t="s">
        <v>124</v>
      </c>
      <c r="J41" s="30"/>
      <c r="K41" s="29" t="str">
        <f>"160,0"</f>
        <v>160,0</v>
      </c>
      <c r="L41" s="28" t="str">
        <f>"124,8830"</f>
        <v>124,8830</v>
      </c>
      <c r="M41" s="29"/>
    </row>
    <row r="43" spans="1:13" ht="15">
      <c r="A43" s="47" t="s">
        <v>54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3">
      <c r="A44" s="22" t="s">
        <v>619</v>
      </c>
      <c r="B44" s="23" t="s">
        <v>620</v>
      </c>
      <c r="C44" s="23" t="s">
        <v>1488</v>
      </c>
      <c r="D44" s="23" t="str">
        <f>"0,7229"</f>
        <v>0,7229</v>
      </c>
      <c r="E44" s="22" t="s">
        <v>59</v>
      </c>
      <c r="F44" s="22" t="s">
        <v>60</v>
      </c>
      <c r="G44" s="23" t="s">
        <v>124</v>
      </c>
      <c r="H44" s="23" t="s">
        <v>179</v>
      </c>
      <c r="I44" s="24" t="s">
        <v>118</v>
      </c>
      <c r="J44" s="24"/>
      <c r="K44" s="22" t="str">
        <f>"175,0"</f>
        <v>175,0</v>
      </c>
      <c r="L44" s="23" t="str">
        <f>"126,5075"</f>
        <v>126,5075</v>
      </c>
      <c r="M44" s="22"/>
    </row>
    <row r="45" spans="1:13">
      <c r="A45" s="25" t="s">
        <v>968</v>
      </c>
      <c r="B45" s="26" t="s">
        <v>616</v>
      </c>
      <c r="C45" s="26" t="s">
        <v>969</v>
      </c>
      <c r="D45" s="26" t="str">
        <f>"0,7056"</f>
        <v>0,7056</v>
      </c>
      <c r="E45" s="25" t="s">
        <v>18</v>
      </c>
      <c r="F45" s="25" t="s">
        <v>60</v>
      </c>
      <c r="G45" s="26" t="s">
        <v>124</v>
      </c>
      <c r="H45" s="26" t="s">
        <v>118</v>
      </c>
      <c r="I45" s="26" t="s">
        <v>78</v>
      </c>
      <c r="J45" s="27"/>
      <c r="K45" s="25" t="str">
        <f>"185,0"</f>
        <v>185,0</v>
      </c>
      <c r="L45" s="26" t="str">
        <f>"130,5452"</f>
        <v>130,5452</v>
      </c>
      <c r="M45" s="25"/>
    </row>
    <row r="46" spans="1:13">
      <c r="A46" s="25" t="s">
        <v>1490</v>
      </c>
      <c r="B46" s="26" t="s">
        <v>1491</v>
      </c>
      <c r="C46" s="26" t="s">
        <v>1492</v>
      </c>
      <c r="D46" s="26" t="str">
        <f>"0,6913"</f>
        <v>0,6913</v>
      </c>
      <c r="E46" s="25" t="s">
        <v>18</v>
      </c>
      <c r="F46" s="25" t="s">
        <v>95</v>
      </c>
      <c r="G46" s="26" t="s">
        <v>427</v>
      </c>
      <c r="H46" s="26" t="s">
        <v>537</v>
      </c>
      <c r="I46" s="27" t="s">
        <v>810</v>
      </c>
      <c r="J46" s="27"/>
      <c r="K46" s="25" t="str">
        <f>"247,5"</f>
        <v>247,5</v>
      </c>
      <c r="L46" s="26" t="str">
        <f>"171,0844"</f>
        <v>171,0844</v>
      </c>
      <c r="M46" s="25"/>
    </row>
    <row r="47" spans="1:13">
      <c r="A47" s="25" t="s">
        <v>1493</v>
      </c>
      <c r="B47" s="26" t="s">
        <v>784</v>
      </c>
      <c r="C47" s="26" t="s">
        <v>1258</v>
      </c>
      <c r="D47" s="26" t="str">
        <f>"0,6899"</f>
        <v>0,6899</v>
      </c>
      <c r="E47" s="25" t="s">
        <v>18</v>
      </c>
      <c r="F47" s="25" t="s">
        <v>60</v>
      </c>
      <c r="G47" s="26" t="s">
        <v>85</v>
      </c>
      <c r="H47" s="26" t="s">
        <v>428</v>
      </c>
      <c r="I47" s="27" t="s">
        <v>197</v>
      </c>
      <c r="J47" s="27"/>
      <c r="K47" s="25" t="str">
        <f>"242,5"</f>
        <v>242,5</v>
      </c>
      <c r="L47" s="26" t="str">
        <f>"167,3007"</f>
        <v>167,3007</v>
      </c>
      <c r="M47" s="25"/>
    </row>
    <row r="48" spans="1:13">
      <c r="A48" s="29" t="s">
        <v>1495</v>
      </c>
      <c r="B48" s="28" t="s">
        <v>1496</v>
      </c>
      <c r="C48" s="28" t="s">
        <v>987</v>
      </c>
      <c r="D48" s="28" t="str">
        <f>"0,7071"</f>
        <v>0,7071</v>
      </c>
      <c r="E48" s="29" t="s">
        <v>18</v>
      </c>
      <c r="F48" s="29" t="s">
        <v>95</v>
      </c>
      <c r="G48" s="28" t="s">
        <v>170</v>
      </c>
      <c r="H48" s="28" t="s">
        <v>117</v>
      </c>
      <c r="I48" s="28" t="s">
        <v>118</v>
      </c>
      <c r="J48" s="30"/>
      <c r="K48" s="29" t="str">
        <f>"180,0"</f>
        <v>180,0</v>
      </c>
      <c r="L48" s="28" t="str">
        <f>"132,7509"</f>
        <v>132,7509</v>
      </c>
      <c r="M48" s="29"/>
    </row>
    <row r="50" spans="1:13" ht="15">
      <c r="A50" s="47" t="s">
        <v>305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3">
      <c r="A51" s="22" t="s">
        <v>1497</v>
      </c>
      <c r="B51" s="23" t="s">
        <v>791</v>
      </c>
      <c r="C51" s="23" t="s">
        <v>1498</v>
      </c>
      <c r="D51" s="23" t="str">
        <f>"0,6461"</f>
        <v>0,6461</v>
      </c>
      <c r="E51" s="22" t="s">
        <v>59</v>
      </c>
      <c r="F51" s="22" t="s">
        <v>60</v>
      </c>
      <c r="G51" s="23" t="s">
        <v>253</v>
      </c>
      <c r="H51" s="23" t="s">
        <v>355</v>
      </c>
      <c r="I51" s="23" t="s">
        <v>85</v>
      </c>
      <c r="J51" s="24"/>
      <c r="K51" s="22" t="str">
        <f>"220,0"</f>
        <v>220,0</v>
      </c>
      <c r="L51" s="23" t="str">
        <f>"142,1530"</f>
        <v>142,1530</v>
      </c>
      <c r="M51" s="22"/>
    </row>
    <row r="52" spans="1:13">
      <c r="A52" s="25" t="s">
        <v>1015</v>
      </c>
      <c r="B52" s="26" t="s">
        <v>631</v>
      </c>
      <c r="C52" s="26" t="s">
        <v>632</v>
      </c>
      <c r="D52" s="26" t="str">
        <f>"0,6652"</f>
        <v>0,6652</v>
      </c>
      <c r="E52" s="25" t="s">
        <v>59</v>
      </c>
      <c r="F52" s="25" t="s">
        <v>60</v>
      </c>
      <c r="G52" s="26" t="s">
        <v>178</v>
      </c>
      <c r="H52" s="26" t="s">
        <v>117</v>
      </c>
      <c r="I52" s="26" t="s">
        <v>416</v>
      </c>
      <c r="J52" s="27"/>
      <c r="K52" s="25" t="str">
        <f>"172,5"</f>
        <v>172,5</v>
      </c>
      <c r="L52" s="26" t="str">
        <f>"114,7470"</f>
        <v>114,7470</v>
      </c>
      <c r="M52" s="25"/>
    </row>
    <row r="53" spans="1:13">
      <c r="A53" s="25" t="s">
        <v>1500</v>
      </c>
      <c r="B53" s="26" t="s">
        <v>1501</v>
      </c>
      <c r="C53" s="26" t="s">
        <v>1502</v>
      </c>
      <c r="D53" s="26" t="str">
        <f>"0,6768"</f>
        <v>0,6768</v>
      </c>
      <c r="E53" s="25" t="s">
        <v>18</v>
      </c>
      <c r="F53" s="25" t="s">
        <v>95</v>
      </c>
      <c r="G53" s="26" t="s">
        <v>136</v>
      </c>
      <c r="H53" s="26" t="s">
        <v>250</v>
      </c>
      <c r="I53" s="27" t="s">
        <v>416</v>
      </c>
      <c r="J53" s="27"/>
      <c r="K53" s="25" t="str">
        <f>"162,5"</f>
        <v>162,5</v>
      </c>
      <c r="L53" s="26" t="str">
        <f>"109,9719"</f>
        <v>109,9719</v>
      </c>
      <c r="M53" s="25"/>
    </row>
    <row r="54" spans="1:13">
      <c r="A54" s="25" t="s">
        <v>1504</v>
      </c>
      <c r="B54" s="26" t="s">
        <v>1505</v>
      </c>
      <c r="C54" s="26" t="s">
        <v>1506</v>
      </c>
      <c r="D54" s="26" t="str">
        <f>"0,6487"</f>
        <v>0,6487</v>
      </c>
      <c r="E54" s="25" t="s">
        <v>18</v>
      </c>
      <c r="F54" s="25" t="s">
        <v>95</v>
      </c>
      <c r="G54" s="26" t="s">
        <v>548</v>
      </c>
      <c r="H54" s="26" t="s">
        <v>166</v>
      </c>
      <c r="I54" s="26" t="s">
        <v>167</v>
      </c>
      <c r="J54" s="27"/>
      <c r="K54" s="25" t="str">
        <f>"280,0"</f>
        <v>280,0</v>
      </c>
      <c r="L54" s="26" t="str">
        <f>"181,6360"</f>
        <v>181,6360</v>
      </c>
      <c r="M54" s="25"/>
    </row>
    <row r="55" spans="1:13">
      <c r="A55" s="25" t="s">
        <v>1508</v>
      </c>
      <c r="B55" s="26" t="s">
        <v>1509</v>
      </c>
      <c r="C55" s="26" t="s">
        <v>1510</v>
      </c>
      <c r="D55" s="26" t="str">
        <f>"0,6482"</f>
        <v>0,6482</v>
      </c>
      <c r="E55" s="25" t="s">
        <v>18</v>
      </c>
      <c r="F55" s="25" t="s">
        <v>1511</v>
      </c>
      <c r="G55" s="26" t="s">
        <v>150</v>
      </c>
      <c r="H55" s="26" t="s">
        <v>85</v>
      </c>
      <c r="I55" s="26" t="s">
        <v>189</v>
      </c>
      <c r="J55" s="27"/>
      <c r="K55" s="25" t="str">
        <f>"227,5"</f>
        <v>227,5</v>
      </c>
      <c r="L55" s="26" t="str">
        <f>"147,4655"</f>
        <v>147,4655</v>
      </c>
      <c r="M55" s="25"/>
    </row>
    <row r="56" spans="1:13">
      <c r="A56" s="25" t="s">
        <v>1512</v>
      </c>
      <c r="B56" s="26" t="s">
        <v>797</v>
      </c>
      <c r="C56" s="26" t="s">
        <v>1498</v>
      </c>
      <c r="D56" s="26" t="str">
        <f>"0,6461"</f>
        <v>0,6461</v>
      </c>
      <c r="E56" s="25" t="s">
        <v>59</v>
      </c>
      <c r="F56" s="25" t="s">
        <v>60</v>
      </c>
      <c r="G56" s="26" t="s">
        <v>253</v>
      </c>
      <c r="H56" s="26" t="s">
        <v>355</v>
      </c>
      <c r="I56" s="26" t="s">
        <v>85</v>
      </c>
      <c r="J56" s="27"/>
      <c r="K56" s="25" t="str">
        <f>"220,0"</f>
        <v>220,0</v>
      </c>
      <c r="L56" s="26" t="str">
        <f>"142,1530"</f>
        <v>142,1530</v>
      </c>
      <c r="M56" s="25"/>
    </row>
    <row r="57" spans="1:13">
      <c r="A57" s="25" t="s">
        <v>1032</v>
      </c>
      <c r="B57" s="26" t="s">
        <v>1033</v>
      </c>
      <c r="C57" s="26" t="s">
        <v>309</v>
      </c>
      <c r="D57" s="26" t="str">
        <f>"0,6508"</f>
        <v>0,6508</v>
      </c>
      <c r="E57" s="25" t="s">
        <v>18</v>
      </c>
      <c r="F57" s="25" t="s">
        <v>350</v>
      </c>
      <c r="G57" s="26" t="s">
        <v>178</v>
      </c>
      <c r="H57" s="26" t="s">
        <v>149</v>
      </c>
      <c r="I57" s="26" t="s">
        <v>119</v>
      </c>
      <c r="J57" s="27"/>
      <c r="K57" s="25" t="str">
        <f>"200,0"</f>
        <v>200,0</v>
      </c>
      <c r="L57" s="26" t="str">
        <f>"137,3188"</f>
        <v>137,3188</v>
      </c>
      <c r="M57" s="25"/>
    </row>
    <row r="58" spans="1:13">
      <c r="A58" s="25" t="s">
        <v>1514</v>
      </c>
      <c r="B58" s="26" t="s">
        <v>1515</v>
      </c>
      <c r="C58" s="26" t="s">
        <v>541</v>
      </c>
      <c r="D58" s="26" t="str">
        <f>"0,6446"</f>
        <v>0,6446</v>
      </c>
      <c r="E58" s="25" t="s">
        <v>18</v>
      </c>
      <c r="F58" s="25" t="s">
        <v>1516</v>
      </c>
      <c r="G58" s="26" t="s">
        <v>136</v>
      </c>
      <c r="H58" s="26" t="s">
        <v>78</v>
      </c>
      <c r="I58" s="27" t="s">
        <v>129</v>
      </c>
      <c r="J58" s="27"/>
      <c r="K58" s="25" t="str">
        <f>"185,0"</f>
        <v>185,0</v>
      </c>
      <c r="L58" s="26" t="str">
        <f>"129,0296"</f>
        <v>129,0296</v>
      </c>
      <c r="M58" s="25"/>
    </row>
    <row r="59" spans="1:13">
      <c r="A59" s="29" t="s">
        <v>1518</v>
      </c>
      <c r="B59" s="28" t="s">
        <v>1519</v>
      </c>
      <c r="C59" s="28" t="s">
        <v>1520</v>
      </c>
      <c r="D59" s="28" t="str">
        <f>"0,6805"</f>
        <v>0,6805</v>
      </c>
      <c r="E59" s="29" t="s">
        <v>18</v>
      </c>
      <c r="F59" s="29" t="s">
        <v>1521</v>
      </c>
      <c r="G59" s="28" t="s">
        <v>150</v>
      </c>
      <c r="H59" s="28" t="s">
        <v>85</v>
      </c>
      <c r="I59" s="28" t="s">
        <v>189</v>
      </c>
      <c r="J59" s="30"/>
      <c r="K59" s="29" t="str">
        <f>"227,5"</f>
        <v>227,5</v>
      </c>
      <c r="L59" s="28" t="str">
        <f>"215,6714"</f>
        <v>215,6714</v>
      </c>
      <c r="M59" s="29"/>
    </row>
    <row r="61" spans="1:13" ht="15">
      <c r="A61" s="47" t="s">
        <v>144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1:13">
      <c r="A62" s="22" t="s">
        <v>786</v>
      </c>
      <c r="B62" s="23" t="s">
        <v>787</v>
      </c>
      <c r="C62" s="23" t="s">
        <v>320</v>
      </c>
      <c r="D62" s="23" t="str">
        <f>"0,6205"</f>
        <v>0,6205</v>
      </c>
      <c r="E62" s="22" t="s">
        <v>59</v>
      </c>
      <c r="F62" s="22" t="s">
        <v>60</v>
      </c>
      <c r="G62" s="23" t="s">
        <v>33</v>
      </c>
      <c r="H62" s="24" t="s">
        <v>249</v>
      </c>
      <c r="I62" s="24"/>
      <c r="J62" s="24"/>
      <c r="K62" s="22" t="str">
        <f>"130,0"</f>
        <v>130,0</v>
      </c>
      <c r="L62" s="23" t="str">
        <f>"80,6650"</f>
        <v>80,6650</v>
      </c>
      <c r="M62" s="22"/>
    </row>
    <row r="63" spans="1:13">
      <c r="A63" s="25" t="s">
        <v>1523</v>
      </c>
      <c r="B63" s="26" t="s">
        <v>1524</v>
      </c>
      <c r="C63" s="26" t="s">
        <v>1525</v>
      </c>
      <c r="D63" s="26" t="str">
        <f>"0,6281"</f>
        <v>0,6281</v>
      </c>
      <c r="E63" s="25" t="s">
        <v>18</v>
      </c>
      <c r="F63" s="25" t="s">
        <v>95</v>
      </c>
      <c r="G63" s="26" t="s">
        <v>117</v>
      </c>
      <c r="H63" s="27" t="s">
        <v>78</v>
      </c>
      <c r="I63" s="26" t="s">
        <v>156</v>
      </c>
      <c r="J63" s="27"/>
      <c r="K63" s="25" t="str">
        <f>"195,0"</f>
        <v>195,0</v>
      </c>
      <c r="L63" s="26" t="str">
        <f>"122,4795"</f>
        <v>122,4795</v>
      </c>
      <c r="M63" s="25"/>
    </row>
    <row r="64" spans="1:13">
      <c r="A64" s="25" t="s">
        <v>803</v>
      </c>
      <c r="B64" s="26" t="s">
        <v>804</v>
      </c>
      <c r="C64" s="26" t="s">
        <v>1526</v>
      </c>
      <c r="D64" s="26" t="str">
        <f>"0,6363"</f>
        <v>0,6363</v>
      </c>
      <c r="E64" s="25" t="s">
        <v>59</v>
      </c>
      <c r="F64" s="25" t="s">
        <v>60</v>
      </c>
      <c r="G64" s="26" t="s">
        <v>117</v>
      </c>
      <c r="H64" s="27" t="s">
        <v>78</v>
      </c>
      <c r="I64" s="27" t="s">
        <v>78</v>
      </c>
      <c r="J64" s="27"/>
      <c r="K64" s="25" t="str">
        <f>"170,0"</f>
        <v>170,0</v>
      </c>
      <c r="L64" s="26" t="str">
        <f>"108,1710"</f>
        <v>108,1710</v>
      </c>
      <c r="M64" s="25"/>
    </row>
    <row r="65" spans="1:13">
      <c r="A65" s="25" t="s">
        <v>807</v>
      </c>
      <c r="B65" s="26" t="s">
        <v>808</v>
      </c>
      <c r="C65" s="26" t="s">
        <v>354</v>
      </c>
      <c r="D65" s="26" t="str">
        <f>"0,6119"</f>
        <v>0,6119</v>
      </c>
      <c r="E65" s="25" t="s">
        <v>59</v>
      </c>
      <c r="F65" s="25" t="s">
        <v>60</v>
      </c>
      <c r="G65" s="26" t="s">
        <v>141</v>
      </c>
      <c r="H65" s="26" t="s">
        <v>197</v>
      </c>
      <c r="I65" s="26" t="s">
        <v>264</v>
      </c>
      <c r="J65" s="27"/>
      <c r="K65" s="25" t="str">
        <f>"265,0"</f>
        <v>265,0</v>
      </c>
      <c r="L65" s="26" t="str">
        <f>"162,1403"</f>
        <v>162,1403</v>
      </c>
      <c r="M65" s="25"/>
    </row>
    <row r="66" spans="1:13">
      <c r="A66" s="25" t="s">
        <v>807</v>
      </c>
      <c r="B66" s="26" t="s">
        <v>812</v>
      </c>
      <c r="C66" s="26" t="s">
        <v>354</v>
      </c>
      <c r="D66" s="26" t="str">
        <f>"0,6119"</f>
        <v>0,6119</v>
      </c>
      <c r="E66" s="25" t="s">
        <v>59</v>
      </c>
      <c r="F66" s="25" t="s">
        <v>60</v>
      </c>
      <c r="G66" s="26" t="s">
        <v>141</v>
      </c>
      <c r="H66" s="26" t="s">
        <v>197</v>
      </c>
      <c r="I66" s="26" t="s">
        <v>264</v>
      </c>
      <c r="J66" s="27"/>
      <c r="K66" s="25" t="str">
        <f>"265,0"</f>
        <v>265,0</v>
      </c>
      <c r="L66" s="26" t="str">
        <f>"162,1403"</f>
        <v>162,1403</v>
      </c>
      <c r="M66" s="25"/>
    </row>
    <row r="67" spans="1:13">
      <c r="A67" s="25" t="s">
        <v>1528</v>
      </c>
      <c r="B67" s="26" t="s">
        <v>1529</v>
      </c>
      <c r="C67" s="26" t="s">
        <v>1530</v>
      </c>
      <c r="D67" s="26" t="str">
        <f>"0,6149"</f>
        <v>0,6149</v>
      </c>
      <c r="E67" s="25" t="s">
        <v>18</v>
      </c>
      <c r="F67" s="25" t="s">
        <v>1531</v>
      </c>
      <c r="G67" s="26" t="s">
        <v>192</v>
      </c>
      <c r="H67" s="26" t="s">
        <v>143</v>
      </c>
      <c r="I67" s="27"/>
      <c r="J67" s="27"/>
      <c r="K67" s="25" t="str">
        <f>"230,0"</f>
        <v>230,0</v>
      </c>
      <c r="L67" s="26" t="str">
        <f>"141,4270"</f>
        <v>141,4270</v>
      </c>
      <c r="M67" s="25"/>
    </row>
    <row r="68" spans="1:13">
      <c r="A68" s="25" t="s">
        <v>1533</v>
      </c>
      <c r="B68" s="26" t="s">
        <v>1534</v>
      </c>
      <c r="C68" s="26" t="s">
        <v>667</v>
      </c>
      <c r="D68" s="26" t="str">
        <f>"0,6317"</f>
        <v>0,6317</v>
      </c>
      <c r="E68" s="25" t="s">
        <v>18</v>
      </c>
      <c r="F68" s="25" t="s">
        <v>95</v>
      </c>
      <c r="G68" s="26" t="s">
        <v>156</v>
      </c>
      <c r="H68" s="26" t="s">
        <v>192</v>
      </c>
      <c r="I68" s="27" t="s">
        <v>143</v>
      </c>
      <c r="J68" s="27"/>
      <c r="K68" s="25" t="str">
        <f>"222,5"</f>
        <v>222,5</v>
      </c>
      <c r="L68" s="26" t="str">
        <f>"140,5532"</f>
        <v>140,5532</v>
      </c>
      <c r="M68" s="25"/>
    </row>
    <row r="69" spans="1:13">
      <c r="A69" s="25" t="s">
        <v>1536</v>
      </c>
      <c r="B69" s="26" t="s">
        <v>1537</v>
      </c>
      <c r="C69" s="26" t="s">
        <v>809</v>
      </c>
      <c r="D69" s="26" t="str">
        <f>"0,6177"</f>
        <v>0,6177</v>
      </c>
      <c r="E69" s="25" t="s">
        <v>18</v>
      </c>
      <c r="F69" s="25" t="s">
        <v>95</v>
      </c>
      <c r="G69" s="26" t="s">
        <v>156</v>
      </c>
      <c r="H69" s="26" t="s">
        <v>119</v>
      </c>
      <c r="I69" s="26" t="s">
        <v>697</v>
      </c>
      <c r="J69" s="27"/>
      <c r="K69" s="25" t="str">
        <f>"202,5"</f>
        <v>202,5</v>
      </c>
      <c r="L69" s="26" t="str">
        <f>"125,0842"</f>
        <v>125,0842</v>
      </c>
      <c r="M69" s="25"/>
    </row>
    <row r="70" spans="1:13">
      <c r="A70" s="25" t="s">
        <v>1539</v>
      </c>
      <c r="B70" s="26" t="s">
        <v>1540</v>
      </c>
      <c r="C70" s="26" t="s">
        <v>878</v>
      </c>
      <c r="D70" s="26" t="str">
        <f>"0,6201"</f>
        <v>0,6201</v>
      </c>
      <c r="E70" s="25" t="s">
        <v>18</v>
      </c>
      <c r="F70" s="25" t="s">
        <v>1516</v>
      </c>
      <c r="G70" s="26" t="s">
        <v>78</v>
      </c>
      <c r="H70" s="26" t="s">
        <v>119</v>
      </c>
      <c r="I70" s="26" t="s">
        <v>150</v>
      </c>
      <c r="J70" s="27"/>
      <c r="K70" s="25" t="str">
        <f>"210,0"</f>
        <v>210,0</v>
      </c>
      <c r="L70" s="26" t="str">
        <f>"132,8254"</f>
        <v>132,8254</v>
      </c>
      <c r="M70" s="25"/>
    </row>
    <row r="71" spans="1:13">
      <c r="A71" s="29" t="s">
        <v>1542</v>
      </c>
      <c r="B71" s="28" t="s">
        <v>1543</v>
      </c>
      <c r="C71" s="28" t="s">
        <v>1544</v>
      </c>
      <c r="D71" s="28" t="str">
        <f>"0,6157"</f>
        <v>0,6157</v>
      </c>
      <c r="E71" s="29" t="s">
        <v>18</v>
      </c>
      <c r="F71" s="29" t="s">
        <v>95</v>
      </c>
      <c r="G71" s="28" t="s">
        <v>118</v>
      </c>
      <c r="H71" s="30" t="s">
        <v>156</v>
      </c>
      <c r="I71" s="30" t="s">
        <v>156</v>
      </c>
      <c r="J71" s="30"/>
      <c r="K71" s="29" t="str">
        <f>"180,0"</f>
        <v>180,0</v>
      </c>
      <c r="L71" s="28" t="str">
        <f>"110,8260"</f>
        <v>110,8260</v>
      </c>
      <c r="M71" s="29"/>
    </row>
    <row r="73" spans="1:13" ht="15">
      <c r="A73" s="47" t="s">
        <v>161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</row>
    <row r="74" spans="1:13">
      <c r="A74" s="22" t="s">
        <v>1546</v>
      </c>
      <c r="B74" s="23" t="s">
        <v>1547</v>
      </c>
      <c r="C74" s="23" t="s">
        <v>183</v>
      </c>
      <c r="D74" s="23" t="str">
        <f>"0,5850"</f>
        <v>0,5850</v>
      </c>
      <c r="E74" s="22" t="s">
        <v>18</v>
      </c>
      <c r="F74" s="22" t="s">
        <v>95</v>
      </c>
      <c r="G74" s="24" t="s">
        <v>149</v>
      </c>
      <c r="H74" s="24" t="s">
        <v>149</v>
      </c>
      <c r="I74" s="23" t="s">
        <v>149</v>
      </c>
      <c r="J74" s="24"/>
      <c r="K74" s="22" t="str">
        <f>"190,0"</f>
        <v>190,0</v>
      </c>
      <c r="L74" s="23" t="str">
        <f>"111,1595"</f>
        <v>111,1595</v>
      </c>
      <c r="M74" s="22"/>
    </row>
    <row r="75" spans="1:13">
      <c r="A75" s="25" t="s">
        <v>669</v>
      </c>
      <c r="B75" s="26" t="s">
        <v>670</v>
      </c>
      <c r="C75" s="26" t="s">
        <v>771</v>
      </c>
      <c r="D75" s="26" t="str">
        <f>"0,5840"</f>
        <v>0,5840</v>
      </c>
      <c r="E75" s="25" t="s">
        <v>18</v>
      </c>
      <c r="F75" s="25" t="s">
        <v>60</v>
      </c>
      <c r="G75" s="26" t="s">
        <v>129</v>
      </c>
      <c r="H75" s="26" t="s">
        <v>151</v>
      </c>
      <c r="I75" s="27"/>
      <c r="J75" s="27"/>
      <c r="K75" s="25" t="str">
        <f>"225,0"</f>
        <v>225,0</v>
      </c>
      <c r="L75" s="26" t="str">
        <f>"131,4112"</f>
        <v>131,4112</v>
      </c>
      <c r="M75" s="25"/>
    </row>
    <row r="76" spans="1:13">
      <c r="A76" s="25" t="s">
        <v>1086</v>
      </c>
      <c r="B76" s="26" t="s">
        <v>1087</v>
      </c>
      <c r="C76" s="26" t="s">
        <v>1088</v>
      </c>
      <c r="D76" s="26" t="str">
        <f>"0,5816"</f>
        <v>0,5816</v>
      </c>
      <c r="E76" s="25" t="s">
        <v>18</v>
      </c>
      <c r="F76" s="25" t="s">
        <v>1089</v>
      </c>
      <c r="G76" s="26" t="s">
        <v>197</v>
      </c>
      <c r="H76" s="26" t="s">
        <v>166</v>
      </c>
      <c r="I76" s="27" t="s">
        <v>200</v>
      </c>
      <c r="J76" s="27"/>
      <c r="K76" s="25" t="str">
        <f>"260,0"</f>
        <v>260,0</v>
      </c>
      <c r="L76" s="26" t="str">
        <f>"151,2030"</f>
        <v>151,2030</v>
      </c>
      <c r="M76" s="25"/>
    </row>
    <row r="77" spans="1:13">
      <c r="A77" s="25" t="s">
        <v>1548</v>
      </c>
      <c r="B77" s="26" t="s">
        <v>1117</v>
      </c>
      <c r="C77" s="26" t="s">
        <v>1118</v>
      </c>
      <c r="D77" s="26" t="str">
        <f>"0,5885"</f>
        <v>0,5885</v>
      </c>
      <c r="E77" s="25" t="s">
        <v>18</v>
      </c>
      <c r="F77" s="25" t="s">
        <v>1119</v>
      </c>
      <c r="G77" s="26" t="s">
        <v>150</v>
      </c>
      <c r="H77" s="26" t="s">
        <v>85</v>
      </c>
      <c r="I77" s="26" t="s">
        <v>694</v>
      </c>
      <c r="J77" s="27"/>
      <c r="K77" s="25" t="str">
        <f>"232,5"</f>
        <v>232,5</v>
      </c>
      <c r="L77" s="26" t="str">
        <f>"136,8379"</f>
        <v>136,8379</v>
      </c>
      <c r="M77" s="25"/>
    </row>
    <row r="78" spans="1:13">
      <c r="A78" s="25" t="s">
        <v>1550</v>
      </c>
      <c r="B78" s="26" t="s">
        <v>1551</v>
      </c>
      <c r="C78" s="26" t="s">
        <v>1080</v>
      </c>
      <c r="D78" s="26" t="str">
        <f>"0,5856"</f>
        <v>0,5856</v>
      </c>
      <c r="E78" s="25" t="s">
        <v>18</v>
      </c>
      <c r="F78" s="25" t="s">
        <v>1552</v>
      </c>
      <c r="G78" s="26" t="s">
        <v>150</v>
      </c>
      <c r="H78" s="26" t="s">
        <v>192</v>
      </c>
      <c r="I78" s="26" t="s">
        <v>694</v>
      </c>
      <c r="J78" s="27"/>
      <c r="K78" s="25" t="str">
        <f>"232,5"</f>
        <v>232,5</v>
      </c>
      <c r="L78" s="26" t="str">
        <f>"136,1520"</f>
        <v>136,1520</v>
      </c>
      <c r="M78" s="25"/>
    </row>
    <row r="79" spans="1:13">
      <c r="A79" s="25" t="s">
        <v>1553</v>
      </c>
      <c r="B79" s="26" t="s">
        <v>678</v>
      </c>
      <c r="C79" s="26" t="s">
        <v>771</v>
      </c>
      <c r="D79" s="26" t="str">
        <f>"0,5840"</f>
        <v>0,5840</v>
      </c>
      <c r="E79" s="25" t="s">
        <v>18</v>
      </c>
      <c r="F79" s="25" t="s">
        <v>60</v>
      </c>
      <c r="G79" s="26" t="s">
        <v>129</v>
      </c>
      <c r="H79" s="26" t="s">
        <v>151</v>
      </c>
      <c r="I79" s="27"/>
      <c r="J79" s="27"/>
      <c r="K79" s="25" t="str">
        <f>"225,0"</f>
        <v>225,0</v>
      </c>
      <c r="L79" s="26" t="str">
        <f>"131,4112"</f>
        <v>131,4112</v>
      </c>
      <c r="M79" s="25"/>
    </row>
    <row r="80" spans="1:13">
      <c r="A80" s="25" t="s">
        <v>1555</v>
      </c>
      <c r="B80" s="26" t="s">
        <v>1556</v>
      </c>
      <c r="C80" s="26" t="s">
        <v>1126</v>
      </c>
      <c r="D80" s="26" t="str">
        <f>"0,5889"</f>
        <v>0,5889</v>
      </c>
      <c r="E80" s="25" t="s">
        <v>18</v>
      </c>
      <c r="F80" s="25" t="s">
        <v>95</v>
      </c>
      <c r="G80" s="26" t="s">
        <v>697</v>
      </c>
      <c r="H80" s="26" t="s">
        <v>85</v>
      </c>
      <c r="I80" s="27" t="s">
        <v>694</v>
      </c>
      <c r="J80" s="27"/>
      <c r="K80" s="25" t="str">
        <f>"220,0"</f>
        <v>220,0</v>
      </c>
      <c r="L80" s="26" t="str">
        <f>"129,5470"</f>
        <v>129,5470</v>
      </c>
      <c r="M80" s="25"/>
    </row>
    <row r="81" spans="1:13">
      <c r="A81" s="25" t="s">
        <v>1558</v>
      </c>
      <c r="B81" s="26" t="s">
        <v>1559</v>
      </c>
      <c r="C81" s="26" t="s">
        <v>1560</v>
      </c>
      <c r="D81" s="26" t="str">
        <f>"0,6097"</f>
        <v>0,6097</v>
      </c>
      <c r="E81" s="25" t="s">
        <v>18</v>
      </c>
      <c r="F81" s="25" t="s">
        <v>95</v>
      </c>
      <c r="G81" s="26" t="s">
        <v>149</v>
      </c>
      <c r="H81" s="26" t="s">
        <v>697</v>
      </c>
      <c r="I81" s="26" t="s">
        <v>150</v>
      </c>
      <c r="J81" s="27"/>
      <c r="K81" s="25" t="str">
        <f>"210,0"</f>
        <v>210,0</v>
      </c>
      <c r="L81" s="26" t="str">
        <f>"128,0265"</f>
        <v>128,0265</v>
      </c>
      <c r="M81" s="25"/>
    </row>
    <row r="82" spans="1:13">
      <c r="A82" s="25" t="s">
        <v>1562</v>
      </c>
      <c r="B82" s="26" t="s">
        <v>1563</v>
      </c>
      <c r="C82" s="26" t="s">
        <v>1564</v>
      </c>
      <c r="D82" s="26" t="str">
        <f>"0,5846"</f>
        <v>0,5846</v>
      </c>
      <c r="E82" s="25" t="s">
        <v>18</v>
      </c>
      <c r="F82" s="25" t="s">
        <v>906</v>
      </c>
      <c r="G82" s="26" t="s">
        <v>197</v>
      </c>
      <c r="H82" s="26" t="s">
        <v>166</v>
      </c>
      <c r="I82" s="26" t="s">
        <v>264</v>
      </c>
      <c r="J82" s="27"/>
      <c r="K82" s="25" t="str">
        <f>"265,0"</f>
        <v>265,0</v>
      </c>
      <c r="L82" s="26" t="str">
        <f>"159,7078"</f>
        <v>159,7078</v>
      </c>
      <c r="M82" s="25"/>
    </row>
    <row r="83" spans="1:13">
      <c r="A83" s="25" t="s">
        <v>1566</v>
      </c>
      <c r="B83" s="26" t="s">
        <v>1567</v>
      </c>
      <c r="C83" s="26" t="s">
        <v>546</v>
      </c>
      <c r="D83" s="26" t="str">
        <f>"0,5911"</f>
        <v>0,5911</v>
      </c>
      <c r="E83" s="25" t="s">
        <v>18</v>
      </c>
      <c r="F83" s="25" t="s">
        <v>95</v>
      </c>
      <c r="G83" s="26" t="s">
        <v>118</v>
      </c>
      <c r="H83" s="26" t="s">
        <v>156</v>
      </c>
      <c r="I83" s="26" t="s">
        <v>128</v>
      </c>
      <c r="J83" s="27"/>
      <c r="K83" s="25" t="str">
        <f>"205,0"</f>
        <v>205,0</v>
      </c>
      <c r="L83" s="26" t="str">
        <f>"122,3873"</f>
        <v>122,3873</v>
      </c>
      <c r="M83" s="25"/>
    </row>
    <row r="84" spans="1:13">
      <c r="A84" s="29" t="s">
        <v>1569</v>
      </c>
      <c r="B84" s="28" t="s">
        <v>1570</v>
      </c>
      <c r="C84" s="28" t="s">
        <v>1571</v>
      </c>
      <c r="D84" s="28" t="str">
        <f>"0,5831"</f>
        <v>0,5831</v>
      </c>
      <c r="E84" s="29" t="s">
        <v>18</v>
      </c>
      <c r="F84" s="29" t="s">
        <v>915</v>
      </c>
      <c r="G84" s="28" t="s">
        <v>149</v>
      </c>
      <c r="H84" s="28" t="s">
        <v>697</v>
      </c>
      <c r="I84" s="28" t="s">
        <v>355</v>
      </c>
      <c r="J84" s="30"/>
      <c r="K84" s="29" t="str">
        <f>"207,5"</f>
        <v>207,5</v>
      </c>
      <c r="L84" s="28" t="str">
        <f>"130,9035"</f>
        <v>130,9035</v>
      </c>
      <c r="M84" s="29"/>
    </row>
    <row r="86" spans="1:13" ht="15">
      <c r="A86" s="47" t="s">
        <v>184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7" spans="1:13">
      <c r="A87" s="22" t="s">
        <v>823</v>
      </c>
      <c r="B87" s="23" t="s">
        <v>824</v>
      </c>
      <c r="C87" s="23" t="s">
        <v>1144</v>
      </c>
      <c r="D87" s="23" t="str">
        <f>"0,5677"</f>
        <v>0,5677</v>
      </c>
      <c r="E87" s="22" t="s">
        <v>59</v>
      </c>
      <c r="F87" s="22" t="s">
        <v>60</v>
      </c>
      <c r="G87" s="24" t="s">
        <v>128</v>
      </c>
      <c r="H87" s="23" t="s">
        <v>85</v>
      </c>
      <c r="I87" s="24" t="s">
        <v>401</v>
      </c>
      <c r="J87" s="24"/>
      <c r="K87" s="22" t="str">
        <f>"220,0"</f>
        <v>220,0</v>
      </c>
      <c r="L87" s="23" t="str">
        <f>"124,8830"</f>
        <v>124,8830</v>
      </c>
      <c r="M87" s="22"/>
    </row>
    <row r="88" spans="1:13">
      <c r="A88" s="25" t="s">
        <v>1573</v>
      </c>
      <c r="B88" s="26" t="s">
        <v>1574</v>
      </c>
      <c r="C88" s="26" t="s">
        <v>204</v>
      </c>
      <c r="D88" s="26" t="str">
        <f>"0,5661"</f>
        <v>0,5661</v>
      </c>
      <c r="E88" s="25" t="s">
        <v>18</v>
      </c>
      <c r="F88" s="25" t="s">
        <v>1575</v>
      </c>
      <c r="G88" s="26" t="s">
        <v>143</v>
      </c>
      <c r="H88" s="26" t="s">
        <v>197</v>
      </c>
      <c r="I88" s="27" t="s">
        <v>166</v>
      </c>
      <c r="J88" s="27"/>
      <c r="K88" s="25" t="str">
        <f>"250,0"</f>
        <v>250,0</v>
      </c>
      <c r="L88" s="26" t="str">
        <f>"141,5250"</f>
        <v>141,5250</v>
      </c>
      <c r="M88" s="25"/>
    </row>
    <row r="89" spans="1:13">
      <c r="A89" s="29" t="s">
        <v>1577</v>
      </c>
      <c r="B89" s="28" t="s">
        <v>1578</v>
      </c>
      <c r="C89" s="28" t="s">
        <v>1579</v>
      </c>
      <c r="D89" s="28" t="str">
        <f>"0,5687"</f>
        <v>0,5687</v>
      </c>
      <c r="E89" s="29" t="s">
        <v>18</v>
      </c>
      <c r="F89" s="29" t="s">
        <v>95</v>
      </c>
      <c r="G89" s="28" t="s">
        <v>156</v>
      </c>
      <c r="H89" s="28" t="s">
        <v>355</v>
      </c>
      <c r="I89" s="28" t="s">
        <v>129</v>
      </c>
      <c r="J89" s="30"/>
      <c r="K89" s="29" t="str">
        <f>"215,0"</f>
        <v>215,0</v>
      </c>
      <c r="L89" s="28" t="str">
        <f>"122,2598"</f>
        <v>122,2598</v>
      </c>
      <c r="M89" s="29"/>
    </row>
    <row r="91" spans="1:13" ht="15">
      <c r="A91" s="47" t="s">
        <v>421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</row>
    <row r="92" spans="1:13">
      <c r="A92" s="22" t="s">
        <v>1581</v>
      </c>
      <c r="B92" s="23" t="s">
        <v>1582</v>
      </c>
      <c r="C92" s="23" t="s">
        <v>1583</v>
      </c>
      <c r="D92" s="23" t="str">
        <f>"0,5570"</f>
        <v>0,5570</v>
      </c>
      <c r="E92" s="22" t="s">
        <v>18</v>
      </c>
      <c r="F92" s="22" t="s">
        <v>95</v>
      </c>
      <c r="G92" s="23" t="s">
        <v>197</v>
      </c>
      <c r="H92" s="23" t="s">
        <v>166</v>
      </c>
      <c r="I92" s="24" t="s">
        <v>264</v>
      </c>
      <c r="J92" s="24"/>
      <c r="K92" s="22" t="str">
        <f>"260,0"</f>
        <v>260,0</v>
      </c>
      <c r="L92" s="23" t="str">
        <f>"144,8200"</f>
        <v>144,8200</v>
      </c>
      <c r="M92" s="22"/>
    </row>
    <row r="93" spans="1:13">
      <c r="A93" s="25" t="s">
        <v>1584</v>
      </c>
      <c r="B93" s="26" t="s">
        <v>1173</v>
      </c>
      <c r="C93" s="26" t="s">
        <v>1174</v>
      </c>
      <c r="D93" s="26" t="str">
        <f>"0,5612"</f>
        <v>0,5612</v>
      </c>
      <c r="E93" s="25" t="s">
        <v>18</v>
      </c>
      <c r="F93" s="25" t="s">
        <v>95</v>
      </c>
      <c r="G93" s="26" t="s">
        <v>141</v>
      </c>
      <c r="H93" s="27" t="s">
        <v>166</v>
      </c>
      <c r="I93" s="27"/>
      <c r="J93" s="27"/>
      <c r="K93" s="25" t="str">
        <f>"240,0"</f>
        <v>240,0</v>
      </c>
      <c r="L93" s="26" t="str">
        <f>"134,6880"</f>
        <v>134,6880</v>
      </c>
      <c r="M93" s="25"/>
    </row>
    <row r="94" spans="1:13">
      <c r="A94" s="29" t="s">
        <v>1586</v>
      </c>
      <c r="B94" s="28" t="s">
        <v>1587</v>
      </c>
      <c r="C94" s="28" t="s">
        <v>1169</v>
      </c>
      <c r="D94" s="28" t="str">
        <f>"0,5561"</f>
        <v>0,5561</v>
      </c>
      <c r="E94" s="29" t="s">
        <v>18</v>
      </c>
      <c r="F94" s="29" t="s">
        <v>1516</v>
      </c>
      <c r="G94" s="28" t="s">
        <v>150</v>
      </c>
      <c r="H94" s="28" t="s">
        <v>143</v>
      </c>
      <c r="I94" s="28" t="s">
        <v>810</v>
      </c>
      <c r="J94" s="30"/>
      <c r="K94" s="29" t="str">
        <f>"255,0"</f>
        <v>255,0</v>
      </c>
      <c r="L94" s="28" t="str">
        <f>"149,6048"</f>
        <v>149,6048</v>
      </c>
      <c r="M94" s="29"/>
    </row>
    <row r="96" spans="1:13" ht="15">
      <c r="E96" s="12" t="s">
        <v>64</v>
      </c>
    </row>
    <row r="97" spans="1:5" ht="15">
      <c r="E97" s="12" t="s">
        <v>65</v>
      </c>
    </row>
    <row r="98" spans="1:5" ht="15">
      <c r="E98" s="12" t="s">
        <v>66</v>
      </c>
    </row>
    <row r="99" spans="1:5">
      <c r="E99" s="4" t="s">
        <v>67</v>
      </c>
    </row>
    <row r="100" spans="1:5">
      <c r="E100" s="4" t="s">
        <v>68</v>
      </c>
    </row>
    <row r="101" spans="1:5">
      <c r="E101" s="4" t="s">
        <v>69</v>
      </c>
    </row>
    <row r="104" spans="1:5" ht="18">
      <c r="A104" s="13" t="s">
        <v>70</v>
      </c>
      <c r="B104" s="14"/>
    </row>
    <row r="105" spans="1:5" ht="15">
      <c r="A105" s="15" t="s">
        <v>71</v>
      </c>
      <c r="B105" s="16"/>
    </row>
    <row r="106" spans="1:5" ht="14.25">
      <c r="A106" s="18"/>
      <c r="B106" s="19" t="s">
        <v>214</v>
      </c>
    </row>
    <row r="107" spans="1:5" ht="15">
      <c r="A107" s="20" t="s">
        <v>0</v>
      </c>
      <c r="B107" s="20" t="s">
        <v>73</v>
      </c>
      <c r="C107" s="20" t="s">
        <v>74</v>
      </c>
      <c r="D107" s="20" t="s">
        <v>75</v>
      </c>
      <c r="E107" s="20" t="s">
        <v>11</v>
      </c>
    </row>
    <row r="108" spans="1:5">
      <c r="A108" s="17" t="s">
        <v>1459</v>
      </c>
      <c r="B108" s="5" t="s">
        <v>701</v>
      </c>
      <c r="C108" s="5" t="s">
        <v>81</v>
      </c>
      <c r="D108" s="5" t="s">
        <v>52</v>
      </c>
      <c r="E108" s="21" t="s">
        <v>1588</v>
      </c>
    </row>
    <row r="110" spans="1:5" ht="14.25">
      <c r="A110" s="18"/>
      <c r="B110" s="19" t="s">
        <v>72</v>
      </c>
    </row>
    <row r="111" spans="1:5" ht="15">
      <c r="A111" s="20" t="s">
        <v>0</v>
      </c>
      <c r="B111" s="20" t="s">
        <v>73</v>
      </c>
      <c r="C111" s="20" t="s">
        <v>74</v>
      </c>
      <c r="D111" s="20" t="s">
        <v>75</v>
      </c>
      <c r="E111" s="20" t="s">
        <v>11</v>
      </c>
    </row>
    <row r="112" spans="1:5">
      <c r="A112" s="17" t="s">
        <v>1434</v>
      </c>
      <c r="B112" s="5" t="s">
        <v>76</v>
      </c>
      <c r="C112" s="5" t="s">
        <v>1196</v>
      </c>
      <c r="D112" s="5" t="s">
        <v>52</v>
      </c>
      <c r="E112" s="21" t="s">
        <v>1589</v>
      </c>
    </row>
    <row r="114" spans="1:5" ht="14.25">
      <c r="A114" s="18"/>
      <c r="B114" s="19" t="s">
        <v>80</v>
      </c>
    </row>
    <row r="115" spans="1:5" ht="15">
      <c r="A115" s="20" t="s">
        <v>0</v>
      </c>
      <c r="B115" s="20" t="s">
        <v>73</v>
      </c>
      <c r="C115" s="20" t="s">
        <v>74</v>
      </c>
      <c r="D115" s="20" t="s">
        <v>75</v>
      </c>
      <c r="E115" s="20" t="s">
        <v>11</v>
      </c>
    </row>
    <row r="116" spans="1:5">
      <c r="A116" s="17" t="s">
        <v>587</v>
      </c>
      <c r="B116" s="5" t="s">
        <v>80</v>
      </c>
      <c r="C116" s="5" t="s">
        <v>457</v>
      </c>
      <c r="D116" s="5" t="s">
        <v>178</v>
      </c>
      <c r="E116" s="21" t="s">
        <v>1590</v>
      </c>
    </row>
    <row r="117" spans="1:5">
      <c r="A117" s="17" t="s">
        <v>283</v>
      </c>
      <c r="B117" s="5" t="s">
        <v>80</v>
      </c>
      <c r="C117" s="5" t="s">
        <v>84</v>
      </c>
      <c r="D117" s="5" t="s">
        <v>322</v>
      </c>
      <c r="E117" s="21" t="s">
        <v>1591</v>
      </c>
    </row>
    <row r="118" spans="1:5">
      <c r="A118" s="17" t="s">
        <v>1463</v>
      </c>
      <c r="B118" s="5" t="s">
        <v>80</v>
      </c>
      <c r="C118" s="5" t="s">
        <v>81</v>
      </c>
      <c r="D118" s="5" t="s">
        <v>136</v>
      </c>
      <c r="E118" s="21" t="s">
        <v>1592</v>
      </c>
    </row>
    <row r="119" spans="1:5">
      <c r="A119" s="17" t="s">
        <v>1438</v>
      </c>
      <c r="B119" s="5" t="s">
        <v>80</v>
      </c>
      <c r="C119" s="5" t="s">
        <v>837</v>
      </c>
      <c r="D119" s="5" t="s">
        <v>126</v>
      </c>
      <c r="E119" s="21" t="s">
        <v>1593</v>
      </c>
    </row>
    <row r="120" spans="1:5">
      <c r="A120" s="17" t="s">
        <v>1447</v>
      </c>
      <c r="B120" s="5" t="s">
        <v>80</v>
      </c>
      <c r="C120" s="5" t="s">
        <v>457</v>
      </c>
      <c r="D120" s="5" t="s">
        <v>322</v>
      </c>
      <c r="E120" s="21" t="s">
        <v>1594</v>
      </c>
    </row>
    <row r="121" spans="1:5">
      <c r="A121" s="17" t="s">
        <v>1442</v>
      </c>
      <c r="B121" s="5" t="s">
        <v>80</v>
      </c>
      <c r="C121" s="5" t="s">
        <v>837</v>
      </c>
      <c r="D121" s="5" t="s">
        <v>26</v>
      </c>
      <c r="E121" s="21" t="s">
        <v>1595</v>
      </c>
    </row>
    <row r="122" spans="1:5">
      <c r="A122" s="17" t="s">
        <v>1451</v>
      </c>
      <c r="B122" s="5" t="s">
        <v>80</v>
      </c>
      <c r="C122" s="5" t="s">
        <v>457</v>
      </c>
      <c r="D122" s="5" t="s">
        <v>52</v>
      </c>
      <c r="E122" s="21" t="s">
        <v>1596</v>
      </c>
    </row>
    <row r="123" spans="1:5">
      <c r="A123" s="17" t="s">
        <v>893</v>
      </c>
      <c r="B123" s="5" t="s">
        <v>80</v>
      </c>
      <c r="C123" s="5" t="s">
        <v>1196</v>
      </c>
      <c r="D123" s="5" t="s">
        <v>103</v>
      </c>
      <c r="E123" s="21" t="s">
        <v>1597</v>
      </c>
    </row>
    <row r="124" spans="1:5">
      <c r="A124" s="17" t="s">
        <v>1471</v>
      </c>
      <c r="B124" s="5" t="s">
        <v>80</v>
      </c>
      <c r="C124" s="5" t="s">
        <v>77</v>
      </c>
      <c r="D124" s="5" t="s">
        <v>52</v>
      </c>
      <c r="E124" s="21" t="s">
        <v>1598</v>
      </c>
    </row>
    <row r="125" spans="1:5">
      <c r="A125" s="17" t="s">
        <v>768</v>
      </c>
      <c r="B125" s="5" t="s">
        <v>80</v>
      </c>
      <c r="C125" s="5" t="s">
        <v>844</v>
      </c>
      <c r="D125" s="5" t="s">
        <v>125</v>
      </c>
      <c r="E125" s="21" t="s">
        <v>1599</v>
      </c>
    </row>
    <row r="126" spans="1:5">
      <c r="A126" s="17" t="s">
        <v>1467</v>
      </c>
      <c r="B126" s="5" t="s">
        <v>80</v>
      </c>
      <c r="C126" s="5" t="s">
        <v>81</v>
      </c>
      <c r="D126" s="5" t="s">
        <v>21</v>
      </c>
      <c r="E126" s="21" t="s">
        <v>1600</v>
      </c>
    </row>
    <row r="127" spans="1:5">
      <c r="A127" s="17" t="s">
        <v>1455</v>
      </c>
      <c r="B127" s="5" t="s">
        <v>80</v>
      </c>
      <c r="C127" s="5" t="s">
        <v>457</v>
      </c>
      <c r="D127" s="5" t="s">
        <v>103</v>
      </c>
      <c r="E127" s="21" t="s">
        <v>1601</v>
      </c>
    </row>
    <row r="129" spans="1:5" ht="14.25">
      <c r="A129" s="18"/>
      <c r="B129" s="19" t="s">
        <v>206</v>
      </c>
    </row>
    <row r="130" spans="1:5" ht="15">
      <c r="A130" s="20" t="s">
        <v>0</v>
      </c>
      <c r="B130" s="20" t="s">
        <v>73</v>
      </c>
      <c r="C130" s="20" t="s">
        <v>74</v>
      </c>
      <c r="D130" s="20" t="s">
        <v>75</v>
      </c>
      <c r="E130" s="20" t="s">
        <v>11</v>
      </c>
    </row>
    <row r="131" spans="1:5">
      <c r="A131" s="17" t="s">
        <v>759</v>
      </c>
      <c r="B131" s="5" t="s">
        <v>210</v>
      </c>
      <c r="C131" s="5" t="s">
        <v>77</v>
      </c>
      <c r="D131" s="5" t="s">
        <v>199</v>
      </c>
      <c r="E131" s="21" t="s">
        <v>1602</v>
      </c>
    </row>
    <row r="132" spans="1:5">
      <c r="A132" s="17" t="s">
        <v>1475</v>
      </c>
      <c r="B132" s="5" t="s">
        <v>241</v>
      </c>
      <c r="C132" s="5" t="s">
        <v>77</v>
      </c>
      <c r="D132" s="5" t="s">
        <v>304</v>
      </c>
      <c r="E132" s="21" t="s">
        <v>1603</v>
      </c>
    </row>
    <row r="133" spans="1:5">
      <c r="A133" s="17" t="s">
        <v>893</v>
      </c>
      <c r="B133" s="5" t="s">
        <v>241</v>
      </c>
      <c r="C133" s="5" t="s">
        <v>1196</v>
      </c>
      <c r="D133" s="5" t="s">
        <v>103</v>
      </c>
      <c r="E133" s="21" t="s">
        <v>1604</v>
      </c>
    </row>
    <row r="136" spans="1:5" ht="15">
      <c r="A136" s="15" t="s">
        <v>213</v>
      </c>
      <c r="B136" s="16"/>
    </row>
    <row r="137" spans="1:5" ht="14.25">
      <c r="A137" s="18"/>
      <c r="B137" s="19" t="s">
        <v>214</v>
      </c>
    </row>
    <row r="138" spans="1:5" ht="15">
      <c r="A138" s="20" t="s">
        <v>0</v>
      </c>
      <c r="B138" s="20" t="s">
        <v>73</v>
      </c>
      <c r="C138" s="20" t="s">
        <v>74</v>
      </c>
      <c r="D138" s="20" t="s">
        <v>75</v>
      </c>
      <c r="E138" s="20" t="s">
        <v>11</v>
      </c>
    </row>
    <row r="139" spans="1:5">
      <c r="A139" s="17" t="s">
        <v>789</v>
      </c>
      <c r="B139" s="5" t="s">
        <v>464</v>
      </c>
      <c r="C139" s="5" t="s">
        <v>455</v>
      </c>
      <c r="D139" s="5" t="s">
        <v>85</v>
      </c>
      <c r="E139" s="21" t="s">
        <v>1605</v>
      </c>
    </row>
    <row r="140" spans="1:5">
      <c r="A140" s="17" t="s">
        <v>618</v>
      </c>
      <c r="B140" s="5" t="s">
        <v>701</v>
      </c>
      <c r="C140" s="5" t="s">
        <v>87</v>
      </c>
      <c r="D140" s="5" t="s">
        <v>179</v>
      </c>
      <c r="E140" s="21" t="s">
        <v>1606</v>
      </c>
    </row>
    <row r="141" spans="1:5">
      <c r="A141" s="17" t="s">
        <v>1522</v>
      </c>
      <c r="B141" s="5" t="s">
        <v>464</v>
      </c>
      <c r="C141" s="5" t="s">
        <v>229</v>
      </c>
      <c r="D141" s="5" t="s">
        <v>156</v>
      </c>
      <c r="E141" s="21" t="s">
        <v>1607</v>
      </c>
    </row>
    <row r="142" spans="1:5">
      <c r="A142" s="17" t="s">
        <v>629</v>
      </c>
      <c r="B142" s="5" t="s">
        <v>701</v>
      </c>
      <c r="C142" s="5" t="s">
        <v>455</v>
      </c>
      <c r="D142" s="5" t="s">
        <v>416</v>
      </c>
      <c r="E142" s="21" t="s">
        <v>1608</v>
      </c>
    </row>
    <row r="143" spans="1:5">
      <c r="A143" s="17" t="s">
        <v>1545</v>
      </c>
      <c r="B143" s="5" t="s">
        <v>464</v>
      </c>
      <c r="C143" s="5" t="s">
        <v>217</v>
      </c>
      <c r="D143" s="5" t="s">
        <v>149</v>
      </c>
      <c r="E143" s="21" t="s">
        <v>1609</v>
      </c>
    </row>
    <row r="144" spans="1:5">
      <c r="A144" s="17" t="s">
        <v>1499</v>
      </c>
      <c r="B144" s="5" t="s">
        <v>701</v>
      </c>
      <c r="C144" s="5" t="s">
        <v>455</v>
      </c>
      <c r="D144" s="5" t="s">
        <v>250</v>
      </c>
      <c r="E144" s="21" t="s">
        <v>1610</v>
      </c>
    </row>
    <row r="145" spans="1:5">
      <c r="A145" s="17" t="s">
        <v>802</v>
      </c>
      <c r="B145" s="5" t="s">
        <v>701</v>
      </c>
      <c r="C145" s="5" t="s">
        <v>229</v>
      </c>
      <c r="D145" s="5" t="s">
        <v>117</v>
      </c>
      <c r="E145" s="21" t="s">
        <v>1611</v>
      </c>
    </row>
    <row r="146" spans="1:5">
      <c r="A146" s="17" t="s">
        <v>785</v>
      </c>
      <c r="B146" s="5" t="s">
        <v>215</v>
      </c>
      <c r="C146" s="5" t="s">
        <v>229</v>
      </c>
      <c r="D146" s="5" t="s">
        <v>33</v>
      </c>
      <c r="E146" s="21" t="s">
        <v>1612</v>
      </c>
    </row>
    <row r="148" spans="1:5" ht="14.25">
      <c r="A148" s="18"/>
      <c r="B148" s="19" t="s">
        <v>72</v>
      </c>
    </row>
    <row r="149" spans="1:5" ht="15">
      <c r="A149" s="20" t="s">
        <v>0</v>
      </c>
      <c r="B149" s="20" t="s">
        <v>73</v>
      </c>
      <c r="C149" s="20" t="s">
        <v>74</v>
      </c>
      <c r="D149" s="20" t="s">
        <v>75</v>
      </c>
      <c r="E149" s="20" t="s">
        <v>11</v>
      </c>
    </row>
    <row r="150" spans="1:5">
      <c r="A150" s="17" t="s">
        <v>806</v>
      </c>
      <c r="B150" s="5" t="s">
        <v>76</v>
      </c>
      <c r="C150" s="5" t="s">
        <v>229</v>
      </c>
      <c r="D150" s="5" t="s">
        <v>264</v>
      </c>
      <c r="E150" s="21" t="s">
        <v>1613</v>
      </c>
    </row>
    <row r="151" spans="1:5">
      <c r="A151" s="17" t="s">
        <v>614</v>
      </c>
      <c r="B151" s="5" t="s">
        <v>76</v>
      </c>
      <c r="C151" s="5" t="s">
        <v>77</v>
      </c>
      <c r="D151" s="5" t="s">
        <v>118</v>
      </c>
      <c r="E151" s="21" t="s">
        <v>1614</v>
      </c>
    </row>
    <row r="152" spans="1:5">
      <c r="A152" s="17" t="s">
        <v>668</v>
      </c>
      <c r="B152" s="5" t="s">
        <v>76</v>
      </c>
      <c r="C152" s="5" t="s">
        <v>217</v>
      </c>
      <c r="D152" s="5" t="s">
        <v>151</v>
      </c>
      <c r="E152" s="21" t="s">
        <v>1615</v>
      </c>
    </row>
    <row r="153" spans="1:5">
      <c r="A153" s="17" t="s">
        <v>622</v>
      </c>
      <c r="B153" s="5" t="s">
        <v>76</v>
      </c>
      <c r="C153" s="5" t="s">
        <v>87</v>
      </c>
      <c r="D153" s="5" t="s">
        <v>78</v>
      </c>
      <c r="E153" s="21" t="s">
        <v>1616</v>
      </c>
    </row>
    <row r="154" spans="1:5">
      <c r="A154" s="17" t="s">
        <v>822</v>
      </c>
      <c r="B154" s="5" t="s">
        <v>76</v>
      </c>
      <c r="C154" s="5" t="s">
        <v>222</v>
      </c>
      <c r="D154" s="5" t="s">
        <v>85</v>
      </c>
      <c r="E154" s="21" t="s">
        <v>1617</v>
      </c>
    </row>
    <row r="156" spans="1:5" ht="14.25">
      <c r="A156" s="18"/>
      <c r="B156" s="19" t="s">
        <v>80</v>
      </c>
    </row>
    <row r="157" spans="1:5" ht="15">
      <c r="A157" s="20" t="s">
        <v>0</v>
      </c>
      <c r="B157" s="20" t="s">
        <v>73</v>
      </c>
      <c r="C157" s="20" t="s">
        <v>74</v>
      </c>
      <c r="D157" s="20" t="s">
        <v>75</v>
      </c>
      <c r="E157" s="20" t="s">
        <v>11</v>
      </c>
    </row>
    <row r="158" spans="1:5">
      <c r="A158" s="17" t="s">
        <v>1503</v>
      </c>
      <c r="B158" s="5" t="s">
        <v>80</v>
      </c>
      <c r="C158" s="5" t="s">
        <v>455</v>
      </c>
      <c r="D158" s="5" t="s">
        <v>167</v>
      </c>
      <c r="E158" s="21" t="s">
        <v>1618</v>
      </c>
    </row>
    <row r="159" spans="1:5">
      <c r="A159" s="17" t="s">
        <v>1489</v>
      </c>
      <c r="B159" s="5" t="s">
        <v>80</v>
      </c>
      <c r="C159" s="5" t="s">
        <v>87</v>
      </c>
      <c r="D159" s="5" t="s">
        <v>537</v>
      </c>
      <c r="E159" s="21" t="s">
        <v>1619</v>
      </c>
    </row>
    <row r="160" spans="1:5">
      <c r="A160" s="17" t="s">
        <v>782</v>
      </c>
      <c r="B160" s="5" t="s">
        <v>80</v>
      </c>
      <c r="C160" s="5" t="s">
        <v>87</v>
      </c>
      <c r="D160" s="5" t="s">
        <v>428</v>
      </c>
      <c r="E160" s="21" t="s">
        <v>1620</v>
      </c>
    </row>
    <row r="161" spans="1:5">
      <c r="A161" s="17" t="s">
        <v>806</v>
      </c>
      <c r="B161" s="5" t="s">
        <v>80</v>
      </c>
      <c r="C161" s="5" t="s">
        <v>229</v>
      </c>
      <c r="D161" s="5" t="s">
        <v>264</v>
      </c>
      <c r="E161" s="21" t="s">
        <v>1613</v>
      </c>
    </row>
    <row r="162" spans="1:5">
      <c r="A162" s="17" t="s">
        <v>1085</v>
      </c>
      <c r="B162" s="5" t="s">
        <v>80</v>
      </c>
      <c r="C162" s="5" t="s">
        <v>217</v>
      </c>
      <c r="D162" s="5" t="s">
        <v>166</v>
      </c>
      <c r="E162" s="21" t="s">
        <v>1621</v>
      </c>
    </row>
    <row r="163" spans="1:5">
      <c r="A163" s="17" t="s">
        <v>1507</v>
      </c>
      <c r="B163" s="5" t="s">
        <v>80</v>
      </c>
      <c r="C163" s="5" t="s">
        <v>455</v>
      </c>
      <c r="D163" s="5" t="s">
        <v>189</v>
      </c>
      <c r="E163" s="21" t="s">
        <v>1622</v>
      </c>
    </row>
    <row r="164" spans="1:5">
      <c r="A164" s="17" t="s">
        <v>1580</v>
      </c>
      <c r="B164" s="5" t="s">
        <v>80</v>
      </c>
      <c r="C164" s="5" t="s">
        <v>468</v>
      </c>
      <c r="D164" s="5" t="s">
        <v>166</v>
      </c>
      <c r="E164" s="21" t="s">
        <v>1623</v>
      </c>
    </row>
    <row r="165" spans="1:5">
      <c r="A165" s="17" t="s">
        <v>789</v>
      </c>
      <c r="B165" s="5" t="s">
        <v>80</v>
      </c>
      <c r="C165" s="5" t="s">
        <v>455</v>
      </c>
      <c r="D165" s="5" t="s">
        <v>85</v>
      </c>
      <c r="E165" s="21" t="s">
        <v>1605</v>
      </c>
    </row>
    <row r="166" spans="1:5">
      <c r="A166" s="17" t="s">
        <v>1572</v>
      </c>
      <c r="B166" s="5" t="s">
        <v>80</v>
      </c>
      <c r="C166" s="5" t="s">
        <v>222</v>
      </c>
      <c r="D166" s="5" t="s">
        <v>197</v>
      </c>
      <c r="E166" s="21" t="s">
        <v>1624</v>
      </c>
    </row>
    <row r="167" spans="1:5">
      <c r="A167" s="17" t="s">
        <v>1527</v>
      </c>
      <c r="B167" s="5" t="s">
        <v>80</v>
      </c>
      <c r="C167" s="5" t="s">
        <v>229</v>
      </c>
      <c r="D167" s="5" t="s">
        <v>143</v>
      </c>
      <c r="E167" s="21" t="s">
        <v>1625</v>
      </c>
    </row>
    <row r="168" spans="1:5">
      <c r="A168" s="17" t="s">
        <v>1532</v>
      </c>
      <c r="B168" s="5" t="s">
        <v>80</v>
      </c>
      <c r="C168" s="5" t="s">
        <v>229</v>
      </c>
      <c r="D168" s="5" t="s">
        <v>192</v>
      </c>
      <c r="E168" s="21" t="s">
        <v>1626</v>
      </c>
    </row>
    <row r="169" spans="1:5">
      <c r="A169" s="17" t="s">
        <v>1115</v>
      </c>
      <c r="B169" s="5" t="s">
        <v>80</v>
      </c>
      <c r="C169" s="5" t="s">
        <v>217</v>
      </c>
      <c r="D169" s="5" t="s">
        <v>694</v>
      </c>
      <c r="E169" s="21" t="s">
        <v>1627</v>
      </c>
    </row>
    <row r="170" spans="1:5">
      <c r="A170" s="17" t="s">
        <v>1549</v>
      </c>
      <c r="B170" s="5" t="s">
        <v>80</v>
      </c>
      <c r="C170" s="5" t="s">
        <v>217</v>
      </c>
      <c r="D170" s="5" t="s">
        <v>694</v>
      </c>
      <c r="E170" s="21" t="s">
        <v>1628</v>
      </c>
    </row>
    <row r="171" spans="1:5">
      <c r="A171" s="17" t="s">
        <v>1171</v>
      </c>
      <c r="B171" s="5" t="s">
        <v>80</v>
      </c>
      <c r="C171" s="5" t="s">
        <v>468</v>
      </c>
      <c r="D171" s="5" t="s">
        <v>141</v>
      </c>
      <c r="E171" s="21" t="s">
        <v>1629</v>
      </c>
    </row>
    <row r="172" spans="1:5">
      <c r="A172" s="17" t="s">
        <v>668</v>
      </c>
      <c r="B172" s="5" t="s">
        <v>80</v>
      </c>
      <c r="C172" s="5" t="s">
        <v>217</v>
      </c>
      <c r="D172" s="5" t="s">
        <v>151</v>
      </c>
      <c r="E172" s="21" t="s">
        <v>1615</v>
      </c>
    </row>
    <row r="173" spans="1:5">
      <c r="A173" s="17" t="s">
        <v>1554</v>
      </c>
      <c r="B173" s="5" t="s">
        <v>80</v>
      </c>
      <c r="C173" s="5" t="s">
        <v>217</v>
      </c>
      <c r="D173" s="5" t="s">
        <v>85</v>
      </c>
      <c r="E173" s="21" t="s">
        <v>1630</v>
      </c>
    </row>
    <row r="174" spans="1:5">
      <c r="A174" s="17" t="s">
        <v>1557</v>
      </c>
      <c r="B174" s="5" t="s">
        <v>80</v>
      </c>
      <c r="C174" s="5" t="s">
        <v>217</v>
      </c>
      <c r="D174" s="5" t="s">
        <v>150</v>
      </c>
      <c r="E174" s="21" t="s">
        <v>1631</v>
      </c>
    </row>
    <row r="175" spans="1:5">
      <c r="A175" s="17" t="s">
        <v>1479</v>
      </c>
      <c r="B175" s="5" t="s">
        <v>80</v>
      </c>
      <c r="C175" s="5" t="s">
        <v>81</v>
      </c>
      <c r="D175" s="5" t="s">
        <v>136</v>
      </c>
      <c r="E175" s="21" t="s">
        <v>1632</v>
      </c>
    </row>
    <row r="176" spans="1:5">
      <c r="A176" s="17" t="s">
        <v>1535</v>
      </c>
      <c r="B176" s="5" t="s">
        <v>80</v>
      </c>
      <c r="C176" s="5" t="s">
        <v>229</v>
      </c>
      <c r="D176" s="5" t="s">
        <v>697</v>
      </c>
      <c r="E176" s="21" t="s">
        <v>1633</v>
      </c>
    </row>
    <row r="177" spans="1:5">
      <c r="A177" s="17" t="s">
        <v>1576</v>
      </c>
      <c r="B177" s="5" t="s">
        <v>80</v>
      </c>
      <c r="C177" s="5" t="s">
        <v>222</v>
      </c>
      <c r="D177" s="5" t="s">
        <v>129</v>
      </c>
      <c r="E177" s="21" t="s">
        <v>1634</v>
      </c>
    </row>
    <row r="179" spans="1:5" ht="14.25">
      <c r="A179" s="18"/>
      <c r="B179" s="19" t="s">
        <v>206</v>
      </c>
    </row>
    <row r="180" spans="1:5" ht="15">
      <c r="A180" s="20" t="s">
        <v>0</v>
      </c>
      <c r="B180" s="20" t="s">
        <v>73</v>
      </c>
      <c r="C180" s="20" t="s">
        <v>74</v>
      </c>
      <c r="D180" s="20" t="s">
        <v>75</v>
      </c>
      <c r="E180" s="20" t="s">
        <v>11</v>
      </c>
    </row>
    <row r="181" spans="1:5">
      <c r="A181" s="17" t="s">
        <v>1517</v>
      </c>
      <c r="B181" s="5" t="s">
        <v>238</v>
      </c>
      <c r="C181" s="5" t="s">
        <v>455</v>
      </c>
      <c r="D181" s="5" t="s">
        <v>189</v>
      </c>
      <c r="E181" s="21" t="s">
        <v>1635</v>
      </c>
    </row>
    <row r="182" spans="1:5">
      <c r="A182" s="17" t="s">
        <v>1561</v>
      </c>
      <c r="B182" s="5" t="s">
        <v>241</v>
      </c>
      <c r="C182" s="5" t="s">
        <v>217</v>
      </c>
      <c r="D182" s="5" t="s">
        <v>264</v>
      </c>
      <c r="E182" s="21" t="s">
        <v>1636</v>
      </c>
    </row>
    <row r="183" spans="1:5">
      <c r="A183" s="17" t="s">
        <v>1585</v>
      </c>
      <c r="B183" s="5" t="s">
        <v>210</v>
      </c>
      <c r="C183" s="5" t="s">
        <v>468</v>
      </c>
      <c r="D183" s="5" t="s">
        <v>810</v>
      </c>
      <c r="E183" s="21" t="s">
        <v>1637</v>
      </c>
    </row>
    <row r="184" spans="1:5">
      <c r="A184" s="17" t="s">
        <v>1031</v>
      </c>
      <c r="B184" s="5" t="s">
        <v>210</v>
      </c>
      <c r="C184" s="5" t="s">
        <v>455</v>
      </c>
      <c r="D184" s="5" t="s">
        <v>119</v>
      </c>
      <c r="E184" s="21" t="s">
        <v>1638</v>
      </c>
    </row>
    <row r="185" spans="1:5">
      <c r="A185" s="17" t="s">
        <v>1538</v>
      </c>
      <c r="B185" s="5" t="s">
        <v>241</v>
      </c>
      <c r="C185" s="5" t="s">
        <v>229</v>
      </c>
      <c r="D185" s="5" t="s">
        <v>150</v>
      </c>
      <c r="E185" s="21" t="s">
        <v>1639</v>
      </c>
    </row>
    <row r="186" spans="1:5">
      <c r="A186" s="17" t="s">
        <v>1494</v>
      </c>
      <c r="B186" s="5" t="s">
        <v>241</v>
      </c>
      <c r="C186" s="5" t="s">
        <v>87</v>
      </c>
      <c r="D186" s="5" t="s">
        <v>118</v>
      </c>
      <c r="E186" s="21" t="s">
        <v>1640</v>
      </c>
    </row>
    <row r="187" spans="1:5">
      <c r="A187" s="17" t="s">
        <v>1568</v>
      </c>
      <c r="B187" s="5" t="s">
        <v>210</v>
      </c>
      <c r="C187" s="5" t="s">
        <v>217</v>
      </c>
      <c r="D187" s="5" t="s">
        <v>355</v>
      </c>
      <c r="E187" s="21" t="s">
        <v>1641</v>
      </c>
    </row>
    <row r="188" spans="1:5">
      <c r="A188" s="17" t="s">
        <v>1513</v>
      </c>
      <c r="B188" s="5" t="s">
        <v>210</v>
      </c>
      <c r="C188" s="5" t="s">
        <v>455</v>
      </c>
      <c r="D188" s="5" t="s">
        <v>78</v>
      </c>
      <c r="E188" s="21" t="s">
        <v>1642</v>
      </c>
    </row>
    <row r="189" spans="1:5">
      <c r="A189" s="17" t="s">
        <v>1484</v>
      </c>
      <c r="B189" s="5" t="s">
        <v>241</v>
      </c>
      <c r="C189" s="5" t="s">
        <v>77</v>
      </c>
      <c r="D189" s="5" t="s">
        <v>124</v>
      </c>
      <c r="E189" s="21" t="s">
        <v>1617</v>
      </c>
    </row>
    <row r="190" spans="1:5">
      <c r="A190" s="17" t="s">
        <v>1565</v>
      </c>
      <c r="B190" s="5" t="s">
        <v>241</v>
      </c>
      <c r="C190" s="5" t="s">
        <v>217</v>
      </c>
      <c r="D190" s="5" t="s">
        <v>128</v>
      </c>
      <c r="E190" s="21" t="s">
        <v>1643</v>
      </c>
    </row>
    <row r="191" spans="1:5">
      <c r="A191" s="17" t="s">
        <v>1541</v>
      </c>
      <c r="B191" s="5" t="s">
        <v>241</v>
      </c>
      <c r="C191" s="5" t="s">
        <v>229</v>
      </c>
      <c r="D191" s="5" t="s">
        <v>118</v>
      </c>
      <c r="E191" s="21" t="s">
        <v>1644</v>
      </c>
    </row>
  </sheetData>
  <mergeCells count="26">
    <mergeCell ref="A91:L91"/>
    <mergeCell ref="A17:L17"/>
    <mergeCell ref="A23:L23"/>
    <mergeCell ref="A28:L28"/>
    <mergeCell ref="A33:L33"/>
    <mergeCell ref="A36:L36"/>
    <mergeCell ref="A39:L39"/>
    <mergeCell ref="A43:L43"/>
    <mergeCell ref="A50:L50"/>
    <mergeCell ref="A61:L61"/>
    <mergeCell ref="A73:L73"/>
    <mergeCell ref="A86:L86"/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MR BP 1 bw. WPC</vt:lpstr>
      <vt:lpstr>MR BP 1_2 bw. WPC</vt:lpstr>
      <vt:lpstr>MR BP 1_2 bw. AWPC</vt:lpstr>
      <vt:lpstr>MR BP 1 bw. AWPC</vt:lpstr>
      <vt:lpstr>WPC SC</vt:lpstr>
      <vt:lpstr>AWPC SC</vt:lpstr>
      <vt:lpstr>AWPC m.ply DL</vt:lpstr>
      <vt:lpstr>AWPC s.ply DL</vt:lpstr>
      <vt:lpstr>AWPC raw DL</vt:lpstr>
      <vt:lpstr>WPC m.ply DL</vt:lpstr>
      <vt:lpstr>WPC s.ply DL</vt:lpstr>
      <vt:lpstr>WPC raw DL</vt:lpstr>
      <vt:lpstr>AWPC mp. soft.eq.BP</vt:lpstr>
      <vt:lpstr>AWPC st. soft eq. BP</vt:lpstr>
      <vt:lpstr>AWPC s.ply BP</vt:lpstr>
      <vt:lpstr>AWPC OB</vt:lpstr>
      <vt:lpstr>AWPC raw BP</vt:lpstr>
      <vt:lpstr>AWPC m.ply PL</vt:lpstr>
      <vt:lpstr>AWPC s.ply PL</vt:lpstr>
      <vt:lpstr>AWPC Classic RAW PL</vt:lpstr>
      <vt:lpstr>AWPC raw PL</vt:lpstr>
      <vt:lpstr>WPC MP soft eq. BP</vt:lpstr>
      <vt:lpstr>WPC soft eq. BP</vt:lpstr>
      <vt:lpstr>WPC m.ply BP</vt:lpstr>
      <vt:lpstr>WPC s.ply BP</vt:lpstr>
      <vt:lpstr>WPC raw BP</vt:lpstr>
      <vt:lpstr>WPC m.ply PL</vt:lpstr>
      <vt:lpstr>WPC s.ply PL</vt:lpstr>
      <vt:lpstr>WPC Classic RAW PL</vt:lpstr>
      <vt:lpstr>WPC raw PL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2019-12-19T15:58:21Z</dcterms:modified>
</cp:coreProperties>
</file>