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tabRatio="707" firstSheet="19" activeTab="23"/>
  </bookViews>
  <sheets>
    <sheet name="AWPC multy ply deadlift" sheetId="24" r:id="rId1"/>
    <sheet name="AWPC 1-ply deadlift" sheetId="23" r:id="rId2"/>
    <sheet name="AWPC raw deadlift" sheetId="22" r:id="rId3"/>
    <sheet name="WPC multy ply deadlift" sheetId="21" r:id="rId4"/>
    <sheet name="WPC 1-ply deadlift" sheetId="20" r:id="rId5"/>
    <sheet name="WPC raw deadlift" sheetId="19" r:id="rId6"/>
    <sheet name="AWPC multi ply benchpress" sheetId="18" r:id="rId7"/>
    <sheet name="AWPC single ply benchpress" sheetId="17" r:id="rId8"/>
    <sheet name="AWPC raw benchpress" sheetId="16" r:id="rId9"/>
    <sheet name="AWPC multi ply powerlifting" sheetId="15" r:id="rId10"/>
    <sheet name="AWPC single ply powerlifting" sheetId="14" r:id="rId11"/>
    <sheet name="AWPC raw powerlifting" sheetId="13" r:id="rId12"/>
    <sheet name="WPC multi ply benchpress" sheetId="12" r:id="rId13"/>
    <sheet name="WPC single ply benchpress" sheetId="11" r:id="rId14"/>
    <sheet name="WPC raw benchpress" sheetId="10" r:id="rId15"/>
    <sheet name="WPC multi ply powerlifting" sheetId="9" r:id="rId16"/>
    <sheet name="WPC single ply powerlifting" sheetId="8" r:id="rId17"/>
    <sheet name="WPC raw powerlifting" sheetId="7" r:id="rId18"/>
    <sheet name="AWPC classic raw powerlifting" sheetId="6" r:id="rId19"/>
    <sheet name="WPC classic raw powerlifting" sheetId="5" r:id="rId20"/>
    <sheet name="NB WPC 1 bw" sheetId="26" r:id="rId21"/>
    <sheet name="NB AWPC 1 bw" sheetId="27" r:id="rId22"/>
    <sheet name="NB WPC half bw" sheetId="28" r:id="rId23"/>
    <sheet name="NB AWPC half bw" sheetId="29" r:id="rId24"/>
  </sheets>
  <definedNames>
    <definedName name="_xlnm._FilterDatabase" localSheetId="23" hidden="1">'NB AWPC half bw'!$A$1:$K$3</definedName>
    <definedName name="_xlnm._FilterDatabase" localSheetId="19" hidden="1">'WPC classic raw powerlifting'!$A$1:$S$3</definedName>
  </definedNames>
  <calcPr calcId="125725" refMode="R1C1"/>
</workbook>
</file>

<file path=xl/calcChain.xml><?xml version="1.0" encoding="utf-8"?>
<calcChain xmlns="http://schemas.openxmlformats.org/spreadsheetml/2006/main">
  <c r="D6" i="29"/>
  <c r="L6"/>
  <c r="D7"/>
  <c r="L7"/>
  <c r="D8"/>
  <c r="L8"/>
  <c r="D11"/>
  <c r="L11"/>
  <c r="D12"/>
  <c r="L12"/>
  <c r="D13"/>
  <c r="L13"/>
  <c r="D16"/>
  <c r="L16"/>
  <c r="D19"/>
  <c r="L19"/>
  <c r="D22"/>
  <c r="L22"/>
  <c r="D23"/>
  <c r="L23"/>
  <c r="D26"/>
  <c r="L26"/>
  <c r="D29"/>
  <c r="L29"/>
  <c r="D6" i="28"/>
  <c r="L6"/>
  <c r="D9"/>
  <c r="L9"/>
  <c r="D6" i="27"/>
  <c r="L6"/>
  <c r="D9"/>
  <c r="L9"/>
  <c r="D10"/>
  <c r="L10"/>
  <c r="D13"/>
  <c r="L13"/>
  <c r="D14"/>
  <c r="L14"/>
  <c r="D15"/>
  <c r="L15"/>
  <c r="D16"/>
  <c r="L16"/>
  <c r="D17"/>
  <c r="L17"/>
  <c r="D18"/>
  <c r="L18"/>
  <c r="D19"/>
  <c r="L19"/>
  <c r="D22"/>
  <c r="L22"/>
  <c r="D23"/>
  <c r="L23"/>
  <c r="D24"/>
  <c r="L24"/>
  <c r="D25"/>
  <c r="L25"/>
  <c r="D26"/>
  <c r="L26"/>
  <c r="D27"/>
  <c r="L27"/>
  <c r="D28"/>
  <c r="L28"/>
  <c r="D29"/>
  <c r="L29"/>
  <c r="D32"/>
  <c r="L32"/>
  <c r="D33"/>
  <c r="L33"/>
  <c r="D34"/>
  <c r="L34"/>
  <c r="D35"/>
  <c r="L35"/>
  <c r="D36"/>
  <c r="L36"/>
  <c r="D37"/>
  <c r="L37"/>
  <c r="D38"/>
  <c r="L38"/>
  <c r="D39"/>
  <c r="L39"/>
  <c r="D40"/>
  <c r="L40"/>
  <c r="D43"/>
  <c r="L43"/>
  <c r="D44"/>
  <c r="L44"/>
  <c r="D45"/>
  <c r="L45"/>
  <c r="D46"/>
  <c r="L46"/>
  <c r="D47"/>
  <c r="L47"/>
  <c r="D48"/>
  <c r="L48"/>
  <c r="D49"/>
  <c r="L49"/>
  <c r="D52"/>
  <c r="L52"/>
  <c r="D53"/>
  <c r="L53"/>
  <c r="D54"/>
  <c r="L54"/>
  <c r="D55"/>
  <c r="L55"/>
  <c r="D56"/>
  <c r="L56"/>
  <c r="D59"/>
  <c r="L59"/>
  <c r="D60"/>
  <c r="L60"/>
  <c r="D61"/>
  <c r="L61"/>
  <c r="D62"/>
  <c r="L62"/>
  <c r="D65"/>
  <c r="L65"/>
  <c r="D66"/>
  <c r="L66"/>
  <c r="D6" i="26"/>
  <c r="L6"/>
  <c r="D9"/>
  <c r="L9"/>
  <c r="D12"/>
  <c r="L12"/>
  <c r="D13"/>
  <c r="L13"/>
  <c r="D14"/>
  <c r="L14"/>
  <c r="D15"/>
  <c r="L15"/>
  <c r="D16"/>
  <c r="L16"/>
  <c r="D17"/>
  <c r="L17"/>
  <c r="D18"/>
  <c r="L18"/>
  <c r="D21"/>
  <c r="L21"/>
  <c r="D24"/>
  <c r="L24"/>
  <c r="D25"/>
  <c r="L25"/>
  <c r="D26"/>
  <c r="L26"/>
  <c r="D27"/>
  <c r="L27"/>
  <c r="D28"/>
  <c r="L28"/>
  <c r="D31"/>
  <c r="L31"/>
  <c r="D32"/>
  <c r="L32"/>
  <c r="D33"/>
  <c r="L33"/>
  <c r="D34"/>
  <c r="L34"/>
  <c r="D35"/>
  <c r="L35"/>
  <c r="D36"/>
  <c r="L36"/>
  <c r="D37"/>
  <c r="L37"/>
  <c r="D40"/>
  <c r="L40"/>
  <c r="D41"/>
  <c r="L41"/>
  <c r="D42"/>
  <c r="L42"/>
  <c r="D43"/>
  <c r="L43"/>
  <c r="D44"/>
  <c r="L44"/>
  <c r="D45"/>
  <c r="L45"/>
  <c r="D48"/>
  <c r="L48"/>
  <c r="D49"/>
  <c r="L49"/>
  <c r="D50"/>
  <c r="L50"/>
  <c r="D51"/>
  <c r="L51"/>
  <c r="D52"/>
  <c r="L52"/>
  <c r="D55"/>
  <c r="L55"/>
  <c r="L22" i="24"/>
  <c r="D22"/>
  <c r="L19"/>
  <c r="D19"/>
  <c r="L18"/>
  <c r="D18"/>
  <c r="L15"/>
  <c r="D15"/>
  <c r="L12"/>
  <c r="D12"/>
  <c r="L9"/>
  <c r="D9"/>
  <c r="L6"/>
  <c r="D6"/>
  <c r="L47" i="23"/>
  <c r="D47"/>
  <c r="L46"/>
  <c r="D46"/>
  <c r="L43"/>
  <c r="D43"/>
  <c r="L42"/>
  <c r="D42"/>
  <c r="L41"/>
  <c r="D41"/>
  <c r="L40"/>
  <c r="D40"/>
  <c r="L39"/>
  <c r="D39"/>
  <c r="L36"/>
  <c r="D36"/>
  <c r="L33"/>
  <c r="D33"/>
  <c r="L30"/>
  <c r="D30"/>
  <c r="L29"/>
  <c r="D29"/>
  <c r="L26"/>
  <c r="D26"/>
  <c r="L25"/>
  <c r="D25"/>
  <c r="L22"/>
  <c r="D22"/>
  <c r="L21"/>
  <c r="D21"/>
  <c r="L18"/>
  <c r="D18"/>
  <c r="L15"/>
  <c r="D15"/>
  <c r="L12"/>
  <c r="D12"/>
  <c r="L9"/>
  <c r="D9"/>
  <c r="L6"/>
  <c r="D6"/>
  <c r="L119" i="22"/>
  <c r="D119"/>
  <c r="L118"/>
  <c r="D118"/>
  <c r="L115"/>
  <c r="D115"/>
  <c r="L114"/>
  <c r="D114"/>
  <c r="L113"/>
  <c r="D113"/>
  <c r="L112"/>
  <c r="D112"/>
  <c r="L111"/>
  <c r="D111"/>
  <c r="L110"/>
  <c r="D110"/>
  <c r="L107"/>
  <c r="D107"/>
  <c r="L106"/>
  <c r="D106"/>
  <c r="L105"/>
  <c r="D105"/>
  <c r="L104"/>
  <c r="D104"/>
  <c r="L101"/>
  <c r="D101"/>
  <c r="L100"/>
  <c r="D100"/>
  <c r="L99"/>
  <c r="D99"/>
  <c r="L98"/>
  <c r="D98"/>
  <c r="L97"/>
  <c r="D97"/>
  <c r="L96"/>
  <c r="D96"/>
  <c r="L95"/>
  <c r="D95"/>
  <c r="L92"/>
  <c r="D92"/>
  <c r="L91"/>
  <c r="D91"/>
  <c r="L90"/>
  <c r="D90"/>
  <c r="L89"/>
  <c r="D89"/>
  <c r="L88"/>
  <c r="D88"/>
  <c r="L87"/>
  <c r="D87"/>
  <c r="L86"/>
  <c r="D86"/>
  <c r="L85"/>
  <c r="D85"/>
  <c r="L84"/>
  <c r="D84"/>
  <c r="L83"/>
  <c r="D83"/>
  <c r="L80"/>
  <c r="D80"/>
  <c r="L79"/>
  <c r="D79"/>
  <c r="L78"/>
  <c r="D78"/>
  <c r="L77"/>
  <c r="D77"/>
  <c r="L76"/>
  <c r="D76"/>
  <c r="L75"/>
  <c r="D75"/>
  <c r="L74"/>
  <c r="D74"/>
  <c r="L73"/>
  <c r="D73"/>
  <c r="L72"/>
  <c r="D72"/>
  <c r="L71"/>
  <c r="D71"/>
  <c r="L70"/>
  <c r="D70"/>
  <c r="L69"/>
  <c r="D69"/>
  <c r="L66"/>
  <c r="D66"/>
  <c r="L65"/>
  <c r="D65"/>
  <c r="L64"/>
  <c r="D64"/>
  <c r="L63"/>
  <c r="D63"/>
  <c r="L62"/>
  <c r="D62"/>
  <c r="L61"/>
  <c r="D61"/>
  <c r="L60"/>
  <c r="D60"/>
  <c r="L59"/>
  <c r="D59"/>
  <c r="L58"/>
  <c r="D58"/>
  <c r="L57"/>
  <c r="D57"/>
  <c r="L56"/>
  <c r="D56"/>
  <c r="L55"/>
  <c r="D55"/>
  <c r="L52"/>
  <c r="D52"/>
  <c r="L51"/>
  <c r="D51"/>
  <c r="L50"/>
  <c r="D50"/>
  <c r="L49"/>
  <c r="D49"/>
  <c r="L48"/>
  <c r="D48"/>
  <c r="L45"/>
  <c r="D45"/>
  <c r="L44"/>
  <c r="D44"/>
  <c r="L43"/>
  <c r="D43"/>
  <c r="L40"/>
  <c r="D40"/>
  <c r="L37"/>
  <c r="D37"/>
  <c r="L36"/>
  <c r="D36"/>
  <c r="L35"/>
  <c r="D35"/>
  <c r="L34"/>
  <c r="D34"/>
  <c r="L33"/>
  <c r="D33"/>
  <c r="L32"/>
  <c r="D32"/>
  <c r="L29"/>
  <c r="D29"/>
  <c r="L28"/>
  <c r="D28"/>
  <c r="L27"/>
  <c r="D27"/>
  <c r="L26"/>
  <c r="D26"/>
  <c r="L25"/>
  <c r="D25"/>
  <c r="L24"/>
  <c r="D24"/>
  <c r="L21"/>
  <c r="D21"/>
  <c r="L20"/>
  <c r="D20"/>
  <c r="L19"/>
  <c r="D19"/>
  <c r="L18"/>
  <c r="D18"/>
  <c r="L15"/>
  <c r="D15"/>
  <c r="L14"/>
  <c r="D14"/>
  <c r="L13"/>
  <c r="D13"/>
  <c r="L10"/>
  <c r="D10"/>
  <c r="L9"/>
  <c r="D9"/>
  <c r="L6"/>
  <c r="D6"/>
  <c r="L18" i="20"/>
  <c r="D18"/>
  <c r="L17"/>
  <c r="D17"/>
  <c r="L14"/>
  <c r="D14"/>
  <c r="L13"/>
  <c r="D13"/>
  <c r="L12"/>
  <c r="D12"/>
  <c r="L9"/>
  <c r="D9"/>
  <c r="L6"/>
  <c r="D6"/>
  <c r="L35" i="19"/>
  <c r="D35"/>
  <c r="L34"/>
  <c r="D34"/>
  <c r="L33"/>
  <c r="D33"/>
  <c r="L30"/>
  <c r="D30"/>
  <c r="L29"/>
  <c r="D29"/>
  <c r="L26"/>
  <c r="D26"/>
  <c r="L25"/>
  <c r="D25"/>
  <c r="L22"/>
  <c r="D22"/>
  <c r="L21"/>
  <c r="D21"/>
  <c r="L20"/>
  <c r="D20"/>
  <c r="L19"/>
  <c r="D19"/>
  <c r="L18"/>
  <c r="D18"/>
  <c r="L15"/>
  <c r="D15"/>
  <c r="L12"/>
  <c r="D12"/>
  <c r="L9"/>
  <c r="D9"/>
  <c r="L6"/>
  <c r="D6"/>
  <c r="L37" i="18"/>
  <c r="D37"/>
  <c r="L36"/>
  <c r="D36"/>
  <c r="L35"/>
  <c r="D35"/>
  <c r="L34"/>
  <c r="D34"/>
  <c r="L31"/>
  <c r="D31"/>
  <c r="L30"/>
  <c r="D30"/>
  <c r="L27"/>
  <c r="D27"/>
  <c r="L24"/>
  <c r="D24"/>
  <c r="L23"/>
  <c r="D23"/>
  <c r="L22"/>
  <c r="D22"/>
  <c r="L21"/>
  <c r="D21"/>
  <c r="L18"/>
  <c r="D18"/>
  <c r="L17"/>
  <c r="D17"/>
  <c r="L14"/>
  <c r="D14"/>
  <c r="L13"/>
  <c r="D13"/>
  <c r="L10"/>
  <c r="D10"/>
  <c r="L7"/>
  <c r="D7"/>
  <c r="L6"/>
  <c r="D6"/>
  <c r="L70" i="17"/>
  <c r="D70"/>
  <c r="L69"/>
  <c r="D69"/>
  <c r="L66"/>
  <c r="D66"/>
  <c r="L65"/>
  <c r="D65"/>
  <c r="L64"/>
  <c r="D64"/>
  <c r="L63"/>
  <c r="D63"/>
  <c r="L62"/>
  <c r="D62"/>
  <c r="L61"/>
  <c r="D61"/>
  <c r="L60"/>
  <c r="D60"/>
  <c r="L57"/>
  <c r="D57"/>
  <c r="L56"/>
  <c r="D56"/>
  <c r="L55"/>
  <c r="D55"/>
  <c r="L54"/>
  <c r="D54"/>
  <c r="L53"/>
  <c r="D53"/>
  <c r="L50"/>
  <c r="D50"/>
  <c r="L49"/>
  <c r="D49"/>
  <c r="L48"/>
  <c r="D48"/>
  <c r="L45"/>
  <c r="D45"/>
  <c r="L44"/>
  <c r="D44"/>
  <c r="L43"/>
  <c r="D43"/>
  <c r="L40"/>
  <c r="D40"/>
  <c r="L39"/>
  <c r="D39"/>
  <c r="L38"/>
  <c r="D38"/>
  <c r="L37"/>
  <c r="D37"/>
  <c r="L34"/>
  <c r="D34"/>
  <c r="L33"/>
  <c r="D33"/>
  <c r="L32"/>
  <c r="D32"/>
  <c r="L31"/>
  <c r="D31"/>
  <c r="L28"/>
  <c r="D28"/>
  <c r="L27"/>
  <c r="D27"/>
  <c r="L24"/>
  <c r="D24"/>
  <c r="L21"/>
  <c r="D21"/>
  <c r="L20"/>
  <c r="D20"/>
  <c r="L17"/>
  <c r="D17"/>
  <c r="L16"/>
  <c r="D16"/>
  <c r="L15"/>
  <c r="D15"/>
  <c r="L12"/>
  <c r="D12"/>
  <c r="L11"/>
  <c r="D11"/>
  <c r="L10"/>
  <c r="D10"/>
  <c r="L9"/>
  <c r="D9"/>
  <c r="L6"/>
  <c r="D6"/>
  <c r="L213" i="16"/>
  <c r="D213"/>
  <c r="L212"/>
  <c r="D212"/>
  <c r="L211"/>
  <c r="D211"/>
  <c r="L210"/>
  <c r="D210"/>
  <c r="L209"/>
  <c r="D209"/>
  <c r="L208"/>
  <c r="D208"/>
  <c r="L207"/>
  <c r="D207"/>
  <c r="L204"/>
  <c r="D204"/>
  <c r="L203"/>
  <c r="D203"/>
  <c r="L202"/>
  <c r="D202"/>
  <c r="L201"/>
  <c r="D201"/>
  <c r="L200"/>
  <c r="D200"/>
  <c r="L199"/>
  <c r="D199"/>
  <c r="L198"/>
  <c r="D198"/>
  <c r="L195"/>
  <c r="D195"/>
  <c r="L194"/>
  <c r="D194"/>
  <c r="L193"/>
  <c r="D193"/>
  <c r="L192"/>
  <c r="D192"/>
  <c r="L191"/>
  <c r="D191"/>
  <c r="L190"/>
  <c r="D190"/>
  <c r="L189"/>
  <c r="D189"/>
  <c r="L188"/>
  <c r="D188"/>
  <c r="L187"/>
  <c r="D187"/>
  <c r="L186"/>
  <c r="D186"/>
  <c r="L185"/>
  <c r="D185"/>
  <c r="L184"/>
  <c r="D184"/>
  <c r="L181"/>
  <c r="D181"/>
  <c r="L180"/>
  <c r="D180"/>
  <c r="L179"/>
  <c r="D179"/>
  <c r="L178"/>
  <c r="D178"/>
  <c r="L177"/>
  <c r="D177"/>
  <c r="L176"/>
  <c r="D176"/>
  <c r="L175"/>
  <c r="D175"/>
  <c r="L174"/>
  <c r="D174"/>
  <c r="L173"/>
  <c r="D173"/>
  <c r="L172"/>
  <c r="D172"/>
  <c r="L171"/>
  <c r="D171"/>
  <c r="L170"/>
  <c r="D170"/>
  <c r="L169"/>
  <c r="D169"/>
  <c r="L168"/>
  <c r="D168"/>
  <c r="L167"/>
  <c r="D167"/>
  <c r="L166"/>
  <c r="D166"/>
  <c r="L165"/>
  <c r="D165"/>
  <c r="L164"/>
  <c r="D164"/>
  <c r="L161"/>
  <c r="D161"/>
  <c r="L160"/>
  <c r="D160"/>
  <c r="L159"/>
  <c r="D159"/>
  <c r="L158"/>
  <c r="D158"/>
  <c r="L157"/>
  <c r="D157"/>
  <c r="L156"/>
  <c r="D156"/>
  <c r="L155"/>
  <c r="D155"/>
  <c r="L154"/>
  <c r="D154"/>
  <c r="L153"/>
  <c r="D153"/>
  <c r="L152"/>
  <c r="D152"/>
  <c r="L151"/>
  <c r="D151"/>
  <c r="L150"/>
  <c r="D150"/>
  <c r="L149"/>
  <c r="D149"/>
  <c r="L148"/>
  <c r="D148"/>
  <c r="L147"/>
  <c r="D147"/>
  <c r="L146"/>
  <c r="D146"/>
  <c r="L145"/>
  <c r="D145"/>
  <c r="L142"/>
  <c r="D142"/>
  <c r="L141"/>
  <c r="D141"/>
  <c r="L140"/>
  <c r="D140"/>
  <c r="L139"/>
  <c r="D139"/>
  <c r="L138"/>
  <c r="D138"/>
  <c r="L137"/>
  <c r="D137"/>
  <c r="L136"/>
  <c r="D136"/>
  <c r="L135"/>
  <c r="D135"/>
  <c r="L134"/>
  <c r="D134"/>
  <c r="L133"/>
  <c r="D133"/>
  <c r="L132"/>
  <c r="D132"/>
  <c r="L131"/>
  <c r="D131"/>
  <c r="L130"/>
  <c r="D130"/>
  <c r="L129"/>
  <c r="D129"/>
  <c r="L128"/>
  <c r="D128"/>
  <c r="L127"/>
  <c r="D127"/>
  <c r="L126"/>
  <c r="D126"/>
  <c r="L125"/>
  <c r="D125"/>
  <c r="L124"/>
  <c r="D124"/>
  <c r="L123"/>
  <c r="D123"/>
  <c r="L122"/>
  <c r="D122"/>
  <c r="L121"/>
  <c r="D121"/>
  <c r="L118"/>
  <c r="D118"/>
  <c r="L117"/>
  <c r="D117"/>
  <c r="L116"/>
  <c r="D116"/>
  <c r="L115"/>
  <c r="D115"/>
  <c r="L114"/>
  <c r="D114"/>
  <c r="L113"/>
  <c r="D113"/>
  <c r="L112"/>
  <c r="D112"/>
  <c r="L111"/>
  <c r="D111"/>
  <c r="L110"/>
  <c r="D110"/>
  <c r="L109"/>
  <c r="D109"/>
  <c r="L108"/>
  <c r="D108"/>
  <c r="L107"/>
  <c r="D107"/>
  <c r="L106"/>
  <c r="D106"/>
  <c r="L105"/>
  <c r="D105"/>
  <c r="L104"/>
  <c r="D104"/>
  <c r="L103"/>
  <c r="D103"/>
  <c r="L102"/>
  <c r="D102"/>
  <c r="L99"/>
  <c r="D99"/>
  <c r="L98"/>
  <c r="D98"/>
  <c r="L97"/>
  <c r="D97"/>
  <c r="L96"/>
  <c r="D96"/>
  <c r="L95"/>
  <c r="D95"/>
  <c r="L94"/>
  <c r="D94"/>
  <c r="L93"/>
  <c r="D93"/>
  <c r="L92"/>
  <c r="D92"/>
  <c r="L91"/>
  <c r="D91"/>
  <c r="L90"/>
  <c r="D90"/>
  <c r="L89"/>
  <c r="D89"/>
  <c r="L88"/>
  <c r="D88"/>
  <c r="L87"/>
  <c r="D87"/>
  <c r="L86"/>
  <c r="D86"/>
  <c r="L85"/>
  <c r="D85"/>
  <c r="L82"/>
  <c r="D82"/>
  <c r="L81"/>
  <c r="D81"/>
  <c r="L80"/>
  <c r="D80"/>
  <c r="L79"/>
  <c r="D79"/>
  <c r="L78"/>
  <c r="D78"/>
  <c r="L77"/>
  <c r="D77"/>
  <c r="L76"/>
  <c r="D76"/>
  <c r="L75"/>
  <c r="D75"/>
  <c r="L74"/>
  <c r="D74"/>
  <c r="L73"/>
  <c r="D73"/>
  <c r="L70"/>
  <c r="D70"/>
  <c r="L69"/>
  <c r="D69"/>
  <c r="L68"/>
  <c r="D68"/>
  <c r="L67"/>
  <c r="D67"/>
  <c r="L66"/>
  <c r="D66"/>
  <c r="L63"/>
  <c r="D63"/>
  <c r="L62"/>
  <c r="D62"/>
  <c r="L61"/>
  <c r="D61"/>
  <c r="L60"/>
  <c r="D60"/>
  <c r="L59"/>
  <c r="D59"/>
  <c r="L58"/>
  <c r="D58"/>
  <c r="L57"/>
  <c r="D57"/>
  <c r="L56"/>
  <c r="D56"/>
  <c r="L53"/>
  <c r="D53"/>
  <c r="L52"/>
  <c r="D52"/>
  <c r="L51"/>
  <c r="D51"/>
  <c r="L48"/>
  <c r="D48"/>
  <c r="L47"/>
  <c r="D47"/>
  <c r="L44"/>
  <c r="D44"/>
  <c r="L43"/>
  <c r="D43"/>
  <c r="L42"/>
  <c r="D42"/>
  <c r="L41"/>
  <c r="D41"/>
  <c r="L40"/>
  <c r="D40"/>
  <c r="L39"/>
  <c r="D39"/>
  <c r="L38"/>
  <c r="D38"/>
  <c r="L35"/>
  <c r="D35"/>
  <c r="L34"/>
  <c r="D34"/>
  <c r="L33"/>
  <c r="D33"/>
  <c r="L32"/>
  <c r="D32"/>
  <c r="L31"/>
  <c r="D31"/>
  <c r="L30"/>
  <c r="D30"/>
  <c r="L27"/>
  <c r="D27"/>
  <c r="L26"/>
  <c r="D26"/>
  <c r="L25"/>
  <c r="D25"/>
  <c r="L24"/>
  <c r="D24"/>
  <c r="L21"/>
  <c r="D21"/>
  <c r="L20"/>
  <c r="D20"/>
  <c r="L19"/>
  <c r="D19"/>
  <c r="L18"/>
  <c r="D18"/>
  <c r="L17"/>
  <c r="D17"/>
  <c r="L16"/>
  <c r="D16"/>
  <c r="L13"/>
  <c r="D13"/>
  <c r="L12"/>
  <c r="D12"/>
  <c r="L11"/>
  <c r="D11"/>
  <c r="L10"/>
  <c r="D10"/>
  <c r="L7"/>
  <c r="D7"/>
  <c r="L6"/>
  <c r="D6"/>
  <c r="T24" i="15"/>
  <c r="D24"/>
  <c r="T23"/>
  <c r="D23"/>
  <c r="T20"/>
  <c r="D20"/>
  <c r="T19"/>
  <c r="D19"/>
  <c r="T18"/>
  <c r="D18"/>
  <c r="T17"/>
  <c r="D17"/>
  <c r="T16"/>
  <c r="D16"/>
  <c r="T13"/>
  <c r="D13"/>
  <c r="T12"/>
  <c r="D12"/>
  <c r="T9"/>
  <c r="D9"/>
  <c r="T6"/>
  <c r="D6"/>
  <c r="T61" i="14"/>
  <c r="D61"/>
  <c r="T58"/>
  <c r="D58"/>
  <c r="T57"/>
  <c r="D57"/>
  <c r="T56"/>
  <c r="D56"/>
  <c r="T55"/>
  <c r="D55"/>
  <c r="T52"/>
  <c r="D52"/>
  <c r="T51"/>
  <c r="D51"/>
  <c r="T50"/>
  <c r="D50"/>
  <c r="T49"/>
  <c r="D49"/>
  <c r="T46"/>
  <c r="D46"/>
  <c r="T45"/>
  <c r="D45"/>
  <c r="T42"/>
  <c r="D42"/>
  <c r="T41"/>
  <c r="D41"/>
  <c r="T40"/>
  <c r="D40"/>
  <c r="T39"/>
  <c r="D39"/>
  <c r="T36"/>
  <c r="D36"/>
  <c r="T35"/>
  <c r="D35"/>
  <c r="T34"/>
  <c r="D34"/>
  <c r="T31"/>
  <c r="D31"/>
  <c r="T28"/>
  <c r="D28"/>
  <c r="T27"/>
  <c r="D27"/>
  <c r="T24"/>
  <c r="D24"/>
  <c r="T21"/>
  <c r="D21"/>
  <c r="T18"/>
  <c r="D18"/>
  <c r="T15"/>
  <c r="D15"/>
  <c r="T14"/>
  <c r="D14"/>
  <c r="T11"/>
  <c r="D11"/>
  <c r="T10"/>
  <c r="D10"/>
  <c r="T7"/>
  <c r="D7"/>
  <c r="T6"/>
  <c r="D6"/>
  <c r="T111" i="13"/>
  <c r="D111"/>
  <c r="T108"/>
  <c r="D108"/>
  <c r="T107"/>
  <c r="D107"/>
  <c r="T106"/>
  <c r="D106"/>
  <c r="T105"/>
  <c r="D105"/>
  <c r="T104"/>
  <c r="D104"/>
  <c r="T103"/>
  <c r="D103"/>
  <c r="T102"/>
  <c r="D102"/>
  <c r="T99"/>
  <c r="D99"/>
  <c r="T98"/>
  <c r="D98"/>
  <c r="T97"/>
  <c r="D97"/>
  <c r="T96"/>
  <c r="D96"/>
  <c r="T93"/>
  <c r="D93"/>
  <c r="T92"/>
  <c r="D92"/>
  <c r="T91"/>
  <c r="D91"/>
  <c r="T90"/>
  <c r="D90"/>
  <c r="T89"/>
  <c r="D89"/>
  <c r="T88"/>
  <c r="D88"/>
  <c r="T87"/>
  <c r="D87"/>
  <c r="T86"/>
  <c r="D86"/>
  <c r="T83"/>
  <c r="D83"/>
  <c r="T82"/>
  <c r="D82"/>
  <c r="T81"/>
  <c r="D81"/>
  <c r="T80"/>
  <c r="D80"/>
  <c r="T79"/>
  <c r="D79"/>
  <c r="T78"/>
  <c r="D78"/>
  <c r="T77"/>
  <c r="D77"/>
  <c r="T76"/>
  <c r="D76"/>
  <c r="T75"/>
  <c r="D75"/>
  <c r="T74"/>
  <c r="D74"/>
  <c r="T73"/>
  <c r="D73"/>
  <c r="T72"/>
  <c r="D72"/>
  <c r="T69"/>
  <c r="D69"/>
  <c r="T68"/>
  <c r="D68"/>
  <c r="T67"/>
  <c r="D67"/>
  <c r="T66"/>
  <c r="D66"/>
  <c r="T65"/>
  <c r="D65"/>
  <c r="T64"/>
  <c r="D64"/>
  <c r="T63"/>
  <c r="D63"/>
  <c r="T62"/>
  <c r="D62"/>
  <c r="T61"/>
  <c r="D61"/>
  <c r="T60"/>
  <c r="D60"/>
  <c r="T59"/>
  <c r="D59"/>
  <c r="T58"/>
  <c r="D58"/>
  <c r="T57"/>
  <c r="D57"/>
  <c r="T56"/>
  <c r="D56"/>
  <c r="T53"/>
  <c r="D53"/>
  <c r="T52"/>
  <c r="D52"/>
  <c r="T51"/>
  <c r="D51"/>
  <c r="T50"/>
  <c r="D50"/>
  <c r="T49"/>
  <c r="D49"/>
  <c r="T48"/>
  <c r="D48"/>
  <c r="T47"/>
  <c r="D47"/>
  <c r="T46"/>
  <c r="D46"/>
  <c r="T45"/>
  <c r="D45"/>
  <c r="T44"/>
  <c r="D44"/>
  <c r="T43"/>
  <c r="D43"/>
  <c r="T40"/>
  <c r="D40"/>
  <c r="T39"/>
  <c r="D39"/>
  <c r="T38"/>
  <c r="D38"/>
  <c r="T37"/>
  <c r="D37"/>
  <c r="T34"/>
  <c r="D34"/>
  <c r="T31"/>
  <c r="D31"/>
  <c r="T28"/>
  <c r="D28"/>
  <c r="T25"/>
  <c r="D25"/>
  <c r="T22"/>
  <c r="D22"/>
  <c r="T21"/>
  <c r="D21"/>
  <c r="T18"/>
  <c r="D18"/>
  <c r="T17"/>
  <c r="D17"/>
  <c r="T16"/>
  <c r="D16"/>
  <c r="T13"/>
  <c r="D13"/>
  <c r="T12"/>
  <c r="D12"/>
  <c r="T9"/>
  <c r="D9"/>
  <c r="T6"/>
  <c r="D6"/>
  <c r="L15" i="12"/>
  <c r="D15"/>
  <c r="L14"/>
  <c r="D14"/>
  <c r="L11"/>
  <c r="D11"/>
  <c r="L10"/>
  <c r="D10"/>
  <c r="L9"/>
  <c r="D9"/>
  <c r="L6"/>
  <c r="D6"/>
  <c r="L37" i="11"/>
  <c r="D37"/>
  <c r="L36"/>
  <c r="D36"/>
  <c r="L35"/>
  <c r="D35"/>
  <c r="L32"/>
  <c r="D32"/>
  <c r="L31"/>
  <c r="D31"/>
  <c r="L30"/>
  <c r="D30"/>
  <c r="L27"/>
  <c r="D27"/>
  <c r="L26"/>
  <c r="D26"/>
  <c r="L25"/>
  <c r="D25"/>
  <c r="L22"/>
  <c r="D22"/>
  <c r="L21"/>
  <c r="D21"/>
  <c r="L20"/>
  <c r="D20"/>
  <c r="L17"/>
  <c r="D17"/>
  <c r="L16"/>
  <c r="D16"/>
  <c r="L13"/>
  <c r="D13"/>
  <c r="L12"/>
  <c r="D12"/>
  <c r="L9"/>
  <c r="D9"/>
  <c r="L6"/>
  <c r="D6"/>
  <c r="L81" i="10"/>
  <c r="D81"/>
  <c r="L80"/>
  <c r="D80"/>
  <c r="L77"/>
  <c r="D77"/>
  <c r="L76"/>
  <c r="D76"/>
  <c r="L75"/>
  <c r="D75"/>
  <c r="L74"/>
  <c r="D74"/>
  <c r="L73"/>
  <c r="D73"/>
  <c r="L72"/>
  <c r="D72"/>
  <c r="L71"/>
  <c r="D71"/>
  <c r="L70"/>
  <c r="D70"/>
  <c r="L69"/>
  <c r="D69"/>
  <c r="L68"/>
  <c r="D68"/>
  <c r="L67"/>
  <c r="D67"/>
  <c r="L64"/>
  <c r="D64"/>
  <c r="L63"/>
  <c r="D63"/>
  <c r="L62"/>
  <c r="D62"/>
  <c r="L61"/>
  <c r="D61"/>
  <c r="L58"/>
  <c r="D58"/>
  <c r="L57"/>
  <c r="D57"/>
  <c r="L56"/>
  <c r="D56"/>
  <c r="L55"/>
  <c r="D55"/>
  <c r="L54"/>
  <c r="D54"/>
  <c r="L53"/>
  <c r="D53"/>
  <c r="L52"/>
  <c r="D52"/>
  <c r="L49"/>
  <c r="D49"/>
  <c r="L48"/>
  <c r="D48"/>
  <c r="L47"/>
  <c r="D47"/>
  <c r="L46"/>
  <c r="D46"/>
  <c r="L45"/>
  <c r="D45"/>
  <c r="L44"/>
  <c r="D44"/>
  <c r="L43"/>
  <c r="D43"/>
  <c r="L42"/>
  <c r="D42"/>
  <c r="L41"/>
  <c r="D41"/>
  <c r="L38"/>
  <c r="D38"/>
  <c r="L37"/>
  <c r="D37"/>
  <c r="L36"/>
  <c r="D36"/>
  <c r="L35"/>
  <c r="D35"/>
  <c r="L34"/>
  <c r="D34"/>
  <c r="L33"/>
  <c r="D33"/>
  <c r="L30"/>
  <c r="D30"/>
  <c r="L29"/>
  <c r="D29"/>
  <c r="L26"/>
  <c r="D26"/>
  <c r="L25"/>
  <c r="D25"/>
  <c r="L24"/>
  <c r="D24"/>
  <c r="L23"/>
  <c r="D23"/>
  <c r="L20"/>
  <c r="D20"/>
  <c r="L17"/>
  <c r="D17"/>
  <c r="L16"/>
  <c r="D16"/>
  <c r="L13"/>
  <c r="D13"/>
  <c r="L10"/>
  <c r="D10"/>
  <c r="L9"/>
  <c r="D9"/>
  <c r="L6"/>
  <c r="D6"/>
  <c r="T6" i="9"/>
  <c r="D6"/>
  <c r="T12" i="8"/>
  <c r="D12"/>
  <c r="T9"/>
  <c r="D9"/>
  <c r="T6"/>
  <c r="D6"/>
  <c r="T35" i="7"/>
  <c r="D35"/>
  <c r="T32"/>
  <c r="D32"/>
  <c r="T31"/>
  <c r="D31"/>
  <c r="T30"/>
  <c r="D30"/>
  <c r="T29"/>
  <c r="D29"/>
  <c r="T26"/>
  <c r="D26"/>
  <c r="T25"/>
  <c r="D25"/>
  <c r="T22"/>
  <c r="D22"/>
  <c r="T21"/>
  <c r="D21"/>
  <c r="T20"/>
  <c r="D20"/>
  <c r="T19"/>
  <c r="D19"/>
  <c r="T16"/>
  <c r="D16"/>
  <c r="T13"/>
  <c r="D13"/>
  <c r="T10"/>
  <c r="D10"/>
  <c r="T7"/>
  <c r="D7"/>
  <c r="T6"/>
  <c r="D6"/>
  <c r="T61" i="6"/>
  <c r="D61"/>
  <c r="T60"/>
  <c r="D60"/>
  <c r="T59"/>
  <c r="D59"/>
  <c r="T58"/>
  <c r="D58"/>
  <c r="T55"/>
  <c r="D55"/>
  <c r="T54"/>
  <c r="D54"/>
  <c r="T53"/>
  <c r="D53"/>
  <c r="T52"/>
  <c r="D52"/>
  <c r="T51"/>
  <c r="D51"/>
  <c r="T48"/>
  <c r="D48"/>
  <c r="T47"/>
  <c r="D47"/>
  <c r="T46"/>
  <c r="D46"/>
  <c r="T45"/>
  <c r="D45"/>
  <c r="T42"/>
  <c r="D42"/>
  <c r="T41"/>
  <c r="D41"/>
  <c r="T40"/>
  <c r="D40"/>
  <c r="T37"/>
  <c r="D37"/>
  <c r="T36"/>
  <c r="D36"/>
  <c r="T35"/>
  <c r="D35"/>
  <c r="T34"/>
  <c r="D34"/>
  <c r="T33"/>
  <c r="D33"/>
  <c r="T30"/>
  <c r="D30"/>
  <c r="T29"/>
  <c r="D29"/>
  <c r="T26"/>
  <c r="D26"/>
  <c r="T25"/>
  <c r="D25"/>
  <c r="T24"/>
  <c r="D24"/>
  <c r="T23"/>
  <c r="D23"/>
  <c r="T20"/>
  <c r="D20"/>
  <c r="T17"/>
  <c r="D17"/>
  <c r="T14"/>
  <c r="D14"/>
  <c r="T13"/>
  <c r="D13"/>
  <c r="T10"/>
  <c r="D10"/>
  <c r="T9"/>
  <c r="D9"/>
  <c r="T6"/>
  <c r="D6"/>
  <c r="T19" i="5"/>
  <c r="D19"/>
  <c r="T18"/>
  <c r="D18"/>
  <c r="T15"/>
  <c r="D15"/>
  <c r="T14"/>
  <c r="D14"/>
  <c r="T13"/>
  <c r="D13"/>
  <c r="T10"/>
  <c r="D10"/>
  <c r="T9"/>
  <c r="D9"/>
  <c r="T6"/>
  <c r="D6"/>
</calcChain>
</file>

<file path=xl/sharedStrings.xml><?xml version="1.0" encoding="utf-8"?>
<sst xmlns="http://schemas.openxmlformats.org/spreadsheetml/2006/main" count="11049" uniqueCount="2717">
  <si>
    <t>Name</t>
  </si>
  <si>
    <t>Gloss</t>
  </si>
  <si>
    <t>Team</t>
  </si>
  <si>
    <t>Town</t>
  </si>
  <si>
    <t>Squat</t>
  </si>
  <si>
    <t>Benchpress</t>
  </si>
  <si>
    <t>Deadlift</t>
  </si>
  <si>
    <t>Totall</t>
  </si>
  <si>
    <t>Coach</t>
  </si>
  <si>
    <t>Pts</t>
  </si>
  <si>
    <t>Rec</t>
  </si>
  <si>
    <t>Body
weight</t>
  </si>
  <si>
    <t xml:space="preserve">Age Categoty
Bith date/Age
</t>
  </si>
  <si>
    <t>Body Weight Category  82.5</t>
  </si>
  <si>
    <t>Krysanov Vladislav</t>
  </si>
  <si>
    <t>Juniors 20-23 (14.08.1992)/24</t>
  </si>
  <si>
    <t>82,50</t>
  </si>
  <si>
    <t>Russia</t>
  </si>
  <si>
    <t>Kaliningrad/Kaliningradskaya oblast</t>
  </si>
  <si>
    <t>145,0</t>
  </si>
  <si>
    <t>160,0</t>
  </si>
  <si>
    <t>180,0</t>
  </si>
  <si>
    <t>110,0</t>
  </si>
  <si>
    <t>122,5</t>
  </si>
  <si>
    <t>135,0</t>
  </si>
  <si>
    <t>Body Weight Category  90</t>
  </si>
  <si>
    <t>Frolov Sergey</t>
  </si>
  <si>
    <t>Open (07.05.1990)/26</t>
  </si>
  <si>
    <t>89,30</t>
  </si>
  <si>
    <t>Lipetsk/Lipetskaya oblast</t>
  </si>
  <si>
    <t>200,0</t>
  </si>
  <si>
    <t>220,0</t>
  </si>
  <si>
    <t>140,0</t>
  </si>
  <si>
    <t>150,0</t>
  </si>
  <si>
    <t>155,0</t>
  </si>
  <si>
    <t>235,0</t>
  </si>
  <si>
    <t>240,0</t>
  </si>
  <si>
    <t>Khmara Artur</t>
  </si>
  <si>
    <t>Open (27.12.1983)/33</t>
  </si>
  <si>
    <t>90,00</t>
  </si>
  <si>
    <t>Ukraine</t>
  </si>
  <si>
    <t>Donetsk/Donetskaya</t>
  </si>
  <si>
    <t>165,0</t>
  </si>
  <si>
    <t>170,0</t>
  </si>
  <si>
    <t>215,0</t>
  </si>
  <si>
    <t>227,5</t>
  </si>
  <si>
    <t>237,5</t>
  </si>
  <si>
    <t>Body Weight Category  100</t>
  </si>
  <si>
    <t>Sleptsov Maksim</t>
  </si>
  <si>
    <t>Open (18.06.1977)/39</t>
  </si>
  <si>
    <t>98,90</t>
  </si>
  <si>
    <t>Volgograd/Volgogradskaya oblast</t>
  </si>
  <si>
    <t>230,0</t>
  </si>
  <si>
    <t>245,0</t>
  </si>
  <si>
    <t>175,0</t>
  </si>
  <si>
    <t>270,0</t>
  </si>
  <si>
    <t>280,0</t>
  </si>
  <si>
    <t>Kutukov Aleksey</t>
  </si>
  <si>
    <t>Open (01.08.1982)/34</t>
  </si>
  <si>
    <t>92,00</t>
  </si>
  <si>
    <t>Oktyabrsk/Samarskaya oblast</t>
  </si>
  <si>
    <t>210,0</t>
  </si>
  <si>
    <t>Ignatov Ivan</t>
  </si>
  <si>
    <t>Open (19.03.1991)/25</t>
  </si>
  <si>
    <t>99,00</t>
  </si>
  <si>
    <t>Belgorod/Belgorodskaya oblast</t>
  </si>
  <si>
    <t>250,0</t>
  </si>
  <si>
    <t>185,0</t>
  </si>
  <si>
    <t>Body Weight Category  110</t>
  </si>
  <si>
    <t>Svintsov Maksim</t>
  </si>
  <si>
    <t>Open (08.11.1987)/29</t>
  </si>
  <si>
    <t>100,90</t>
  </si>
  <si>
    <t>Moskva</t>
  </si>
  <si>
    <t>300,0</t>
  </si>
  <si>
    <t>330,0</t>
  </si>
  <si>
    <t>350,0</t>
  </si>
  <si>
    <t>310,0</t>
  </si>
  <si>
    <t>340,0</t>
  </si>
  <si>
    <t>Mardani Mahdi</t>
  </si>
  <si>
    <t>Open (15.01.1982)/34</t>
  </si>
  <si>
    <t>100,40</t>
  </si>
  <si>
    <t>Iran</t>
  </si>
  <si>
    <t>Iran/</t>
  </si>
  <si>
    <t>190,0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</si>
  <si>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</si>
  <si>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</si>
  <si>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</si>
  <si>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</si>
  <si>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</si>
  <si>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</si>
  <si>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</si>
  <si>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</si>
  <si>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Junior</t>
  </si>
  <si>
    <t>Age class</t>
  </si>
  <si>
    <t>WC</t>
  </si>
  <si>
    <t>Coef.</t>
  </si>
  <si>
    <t>Juniors 20-23</t>
  </si>
  <si>
    <t>82.5</t>
  </si>
  <si>
    <t>427,5</t>
  </si>
  <si>
    <t>275,5665</t>
  </si>
  <si>
    <t>Open</t>
  </si>
  <si>
    <t>110</t>
  </si>
  <si>
    <t>940,0</t>
  </si>
  <si>
    <t>544,4010</t>
  </si>
  <si>
    <t>100</t>
  </si>
  <si>
    <t>680,0</t>
  </si>
  <si>
    <t>397,1540</t>
  </si>
  <si>
    <t>660,0</t>
  </si>
  <si>
    <t>383,0310</t>
  </si>
  <si>
    <t>610,0</t>
  </si>
  <si>
    <t>368,8670</t>
  </si>
  <si>
    <t>90</t>
  </si>
  <si>
    <t>585,0</t>
  </si>
  <si>
    <t>359,5117</t>
  </si>
  <si>
    <t>582,5</t>
  </si>
  <si>
    <t>356,4026</t>
  </si>
  <si>
    <t>Body Weight Category  56</t>
  </si>
  <si>
    <t>Dobrya Kristina</t>
  </si>
  <si>
    <t>Open (20.04.1989)/27</t>
  </si>
  <si>
    <t>55,40</t>
  </si>
  <si>
    <t>Rossiya</t>
  </si>
  <si>
    <t>95,0</t>
  </si>
  <si>
    <t>102,5</t>
  </si>
  <si>
    <t>107,5</t>
  </si>
  <si>
    <t>47,5</t>
  </si>
  <si>
    <t>52,5</t>
  </si>
  <si>
    <t>125,0</t>
  </si>
  <si>
    <t>Body Weight Category  60</t>
  </si>
  <si>
    <t>Zubkova Anna</t>
  </si>
  <si>
    <t>Teen 18-19 (27.08.1996)/20</t>
  </si>
  <si>
    <t>58,10</t>
  </si>
  <si>
    <t>80,0</t>
  </si>
  <si>
    <t>90,0</t>
  </si>
  <si>
    <t>40,0</t>
  </si>
  <si>
    <t>50,0</t>
  </si>
  <si>
    <t>100,0</t>
  </si>
  <si>
    <t>105,0</t>
  </si>
  <si>
    <t>Chepets Yu.P.</t>
  </si>
  <si>
    <t>Ryamaeva Lyudmila</t>
  </si>
  <si>
    <t>Open (12.01.1980)/36</t>
  </si>
  <si>
    <t>59,80</t>
  </si>
  <si>
    <t>60,0</t>
  </si>
  <si>
    <t>65,0</t>
  </si>
  <si>
    <t>Body Weight Category  67.5</t>
  </si>
  <si>
    <t>Laur Elena</t>
  </si>
  <si>
    <t>Open (02.01.1983)/33</t>
  </si>
  <si>
    <t>65,70</t>
  </si>
  <si>
    <t>Sankt-Peterburg</t>
  </si>
  <si>
    <t>55,0</t>
  </si>
  <si>
    <t>120,0</t>
  </si>
  <si>
    <t>Asatryan Elena</t>
  </si>
  <si>
    <t>Open (09.06.1992)/24</t>
  </si>
  <si>
    <t>66,70</t>
  </si>
  <si>
    <t>Kursk/Kurskaya oblast</t>
  </si>
  <si>
    <t>45,0</t>
  </si>
  <si>
    <t>85,0</t>
  </si>
  <si>
    <t>Maslova Ekaterina</t>
  </si>
  <si>
    <t>Masters 45-49 (24.03.1970)/46</t>
  </si>
  <si>
    <t>76,00</t>
  </si>
  <si>
    <t>Zheleznogorsk/Kurskaya oblast</t>
  </si>
  <si>
    <t>115,0</t>
  </si>
  <si>
    <t>Baasansuren Gantsooj</t>
  </si>
  <si>
    <t>Open (28.07.1985)/31</t>
  </si>
  <si>
    <t>Mongoliya</t>
  </si>
  <si>
    <t>Mongoliya/</t>
  </si>
  <si>
    <t>70,0</t>
  </si>
  <si>
    <t>Pereverzev Vladislav</t>
  </si>
  <si>
    <t>Teen 13-15 (23.08.2000)/16</t>
  </si>
  <si>
    <t>66,00</t>
  </si>
  <si>
    <t>72,5</t>
  </si>
  <si>
    <t>75,0</t>
  </si>
  <si>
    <t>Bayarsaikhan Sukhbat</t>
  </si>
  <si>
    <t>Teen 18-19 (20.03.1998)/18</t>
  </si>
  <si>
    <t>130,0</t>
  </si>
  <si>
    <t>Tishchenko Petr</t>
  </si>
  <si>
    <t>Open (02.08.1984)/32</t>
  </si>
  <si>
    <t>67,30</t>
  </si>
  <si>
    <t>Ukraina</t>
  </si>
  <si>
    <t>162,5</t>
  </si>
  <si>
    <t>167,5</t>
  </si>
  <si>
    <t>232,5</t>
  </si>
  <si>
    <t>242,5</t>
  </si>
  <si>
    <t>Tikhonenko A., Gershtentsveyg K.</t>
  </si>
  <si>
    <t>Rek Aleksandr</t>
  </si>
  <si>
    <t>Open (13.07.1987)/29</t>
  </si>
  <si>
    <t>66,50</t>
  </si>
  <si>
    <t>205,0</t>
  </si>
  <si>
    <t>112,5</t>
  </si>
  <si>
    <t>195,0</t>
  </si>
  <si>
    <t>Body Weight Category  75</t>
  </si>
  <si>
    <t>Telidis Kostas</t>
  </si>
  <si>
    <t>Open (18.04.1989)/27</t>
  </si>
  <si>
    <t>75,00</t>
  </si>
  <si>
    <t>Svirsk/Irkutskaya oblast</t>
  </si>
  <si>
    <t>157,5</t>
  </si>
  <si>
    <t>247,5</t>
  </si>
  <si>
    <t>Semenchenko Ye.O.</t>
  </si>
  <si>
    <t>Damdinsuren Batsukh</t>
  </si>
  <si>
    <t>Open (15.04.1984)/32</t>
  </si>
  <si>
    <t>74,80</t>
  </si>
  <si>
    <t>Shalabaev Yakov</t>
  </si>
  <si>
    <t>Juniors 20-23 (25.07.1996)/20</t>
  </si>
  <si>
    <t>80,90</t>
  </si>
  <si>
    <t>Perevalov Aleksandr</t>
  </si>
  <si>
    <t>Open (14.04.1984)/32</t>
  </si>
  <si>
    <t>81,30</t>
  </si>
  <si>
    <t>Balabanovo/Kaluzhskaya oblast</t>
  </si>
  <si>
    <t>260,0</t>
  </si>
  <si>
    <t>Lazarev Victor</t>
  </si>
  <si>
    <t>Open (31.08.1980)/36</t>
  </si>
  <si>
    <t>81,00</t>
  </si>
  <si>
    <t>225,0</t>
  </si>
  <si>
    <t>Dolgushin Sergey</t>
  </si>
  <si>
    <t>Open (23.07.1992)/24</t>
  </si>
  <si>
    <t>80,00</t>
  </si>
  <si>
    <t>Novovoronezh/Voronezhskaya oblast</t>
  </si>
  <si>
    <t>Zhuravlev Mikhail</t>
  </si>
  <si>
    <t>Masters 70-74 (29.10.1943)/73</t>
  </si>
  <si>
    <t>80,70</t>
  </si>
  <si>
    <t>Dikin Egor</t>
  </si>
  <si>
    <t>Teen 16-17 (27.07.2000)/16</t>
  </si>
  <si>
    <t>89,90</t>
  </si>
  <si>
    <t>Dobroye/Lipetskaya oblast</t>
  </si>
  <si>
    <t>Yudin Aleksey</t>
  </si>
  <si>
    <t>Open (04.08.1987)/29</t>
  </si>
  <si>
    <t>87,90</t>
  </si>
  <si>
    <t>Vladivostok/Primorskiy kray</t>
  </si>
  <si>
    <t>187,5</t>
  </si>
  <si>
    <t>Kordon Maksim</t>
  </si>
  <si>
    <t>Open (16.01.1983)/33</t>
  </si>
  <si>
    <t>84,50</t>
  </si>
  <si>
    <t>Chamsaev Shamil</t>
  </si>
  <si>
    <t>Open (29.12.1979)/37</t>
  </si>
  <si>
    <t>99,10</t>
  </si>
  <si>
    <t>Dagestan</t>
  </si>
  <si>
    <t>172,5</t>
  </si>
  <si>
    <t>255,0</t>
  </si>
  <si>
    <t>Umerenkov Igor</t>
  </si>
  <si>
    <t>Open (13.09.1980)/36</t>
  </si>
  <si>
    <t>95,10</t>
  </si>
  <si>
    <t>260,5</t>
  </si>
  <si>
    <t>282,5</t>
  </si>
  <si>
    <t>Apanasenko Ilya</t>
  </si>
  <si>
    <t>Open (19.01.1990)/26</t>
  </si>
  <si>
    <t>Obninsk/Kaluzhskaya oblast</t>
  </si>
  <si>
    <t>170,5</t>
  </si>
  <si>
    <t>Svoboda Evgeniy</t>
  </si>
  <si>
    <t>Masters 40-44 (23.03.1972)/44</t>
  </si>
  <si>
    <t>93,20</t>
  </si>
  <si>
    <t>Ulan-Ude/Buryatiya</t>
  </si>
  <si>
    <t>Batmagnai Gansukh</t>
  </si>
  <si>
    <t>Open (19.06.1988)/28</t>
  </si>
  <si>
    <t>109,70</t>
  </si>
  <si>
    <t>285,0</t>
  </si>
  <si>
    <t>192,5</t>
  </si>
  <si>
    <t>Nenartovich Dmitriy</t>
  </si>
  <si>
    <t>Open (21.12.1987)/29</t>
  </si>
  <si>
    <t>109,30</t>
  </si>
  <si>
    <t>Ilukhin Sergey</t>
  </si>
  <si>
    <t>Open (11.06.1978)/38</t>
  </si>
  <si>
    <t>105,60</t>
  </si>
  <si>
    <t>Rak Ivan</t>
  </si>
  <si>
    <t>Masters 40-44 (27.08.1974)/42</t>
  </si>
  <si>
    <t>107,30</t>
  </si>
  <si>
    <t>Dmitrov/Moskovskaya oblast</t>
  </si>
  <si>
    <t>152,5</t>
  </si>
  <si>
    <t>Dulmaa Altankhuyag</t>
  </si>
  <si>
    <t>Masters 45-49 (07.04.1967)/49</t>
  </si>
  <si>
    <t>103,90</t>
  </si>
  <si>
    <t>Mongolia</t>
  </si>
  <si>
    <t>117,5</t>
  </si>
  <si>
    <t>Body Weight Category  125</t>
  </si>
  <si>
    <t>Myagmarjav Dorj</t>
  </si>
  <si>
    <t>Juniors 20-23 (06.05.1995)/21</t>
  </si>
  <si>
    <t>111,20</t>
  </si>
  <si>
    <t>Oshurkov Aleksey</t>
  </si>
  <si>
    <t>Open (11.11.1977)/39</t>
  </si>
  <si>
    <t>122,10</t>
  </si>
  <si>
    <t>290,0</t>
  </si>
  <si>
    <t>Litvinov Sergey</t>
  </si>
  <si>
    <t>Open (08.06.1976)/40</t>
  </si>
  <si>
    <t>120,60</t>
  </si>
  <si>
    <t>Yekaterinburg/Sverdlovskaya oblast</t>
  </si>
  <si>
    <t>Masters 40-44 (08.06.1976)/40</t>
  </si>
  <si>
    <t>Women</t>
  </si>
  <si>
    <t>Teenagers</t>
  </si>
  <si>
    <t>Teen 18-19</t>
  </si>
  <si>
    <t>60</t>
  </si>
  <si>
    <t>238,1725</t>
  </si>
  <si>
    <t>56</t>
  </si>
  <si>
    <t>300,1050</t>
  </si>
  <si>
    <t>295,0</t>
  </si>
  <si>
    <t>292,1385</t>
  </si>
  <si>
    <t>67.5</t>
  </si>
  <si>
    <t>257,2780</t>
  </si>
  <si>
    <t>217,5</t>
  </si>
  <si>
    <t>197,5009</t>
  </si>
  <si>
    <t>Masters</t>
  </si>
  <si>
    <t>Masters 45-49</t>
  </si>
  <si>
    <t>247,8593</t>
  </si>
  <si>
    <t>420,0</t>
  </si>
  <si>
    <t>320,4600</t>
  </si>
  <si>
    <t>Teen 13-15</t>
  </si>
  <si>
    <t>215,5475</t>
  </si>
  <si>
    <t>125</t>
  </si>
  <si>
    <t>342,1185</t>
  </si>
  <si>
    <t>400,0</t>
  </si>
  <si>
    <t>261,1600</t>
  </si>
  <si>
    <t>590,0</t>
  </si>
  <si>
    <t>442,7065</t>
  </si>
  <si>
    <t>75</t>
  </si>
  <si>
    <t>635,0</t>
  </si>
  <si>
    <t>437,2292</t>
  </si>
  <si>
    <t>765,0</t>
  </si>
  <si>
    <t>419,7937</t>
  </si>
  <si>
    <t>540,0</t>
  </si>
  <si>
    <t>409,3470</t>
  </si>
  <si>
    <t>725,0</t>
  </si>
  <si>
    <t>408,1025</t>
  </si>
  <si>
    <t>697,5</t>
  </si>
  <si>
    <t>407,0261</t>
  </si>
  <si>
    <t>677,5</t>
  </si>
  <si>
    <t>402,8415</t>
  </si>
  <si>
    <t>396,9880</t>
  </si>
  <si>
    <t>565,0</t>
  </si>
  <si>
    <t>389,7935</t>
  </si>
  <si>
    <t>381,6248</t>
  </si>
  <si>
    <t>675,0</t>
  </si>
  <si>
    <t>380,3625</t>
  </si>
  <si>
    <t>370,7130</t>
  </si>
  <si>
    <t>525,0</t>
  </si>
  <si>
    <t>345,3450</t>
  </si>
  <si>
    <t>605,0</t>
  </si>
  <si>
    <t>332,9618</t>
  </si>
  <si>
    <t>492,5</t>
  </si>
  <si>
    <t>305,3993</t>
  </si>
  <si>
    <t>365,0</t>
  </si>
  <si>
    <t>304,9758</t>
  </si>
  <si>
    <t>455,0</t>
  </si>
  <si>
    <t>288,9022</t>
  </si>
  <si>
    <t>Masters 70-74</t>
  </si>
  <si>
    <t>485,0</t>
  </si>
  <si>
    <t>544,9324</t>
  </si>
  <si>
    <t>Masters 40-44</t>
  </si>
  <si>
    <t>642,5</t>
  </si>
  <si>
    <t>367,7133</t>
  </si>
  <si>
    <t>515,0</t>
  </si>
  <si>
    <t>322,6362</t>
  </si>
  <si>
    <t>342,5</t>
  </si>
  <si>
    <t>218,3337</t>
  </si>
  <si>
    <t>Body Weight Category  52</t>
  </si>
  <si>
    <t>Kalashnikova Anastasiya</t>
  </si>
  <si>
    <t>Open (09.08.1985)/31</t>
  </si>
  <si>
    <t>50,90</t>
  </si>
  <si>
    <t>Kharkov/</t>
  </si>
  <si>
    <t>137,5</t>
  </si>
  <si>
    <t>Vitver Olga</t>
  </si>
  <si>
    <t>Open (10.08.1982)/34</t>
  </si>
  <si>
    <t>49,70</t>
  </si>
  <si>
    <t>92,5</t>
  </si>
  <si>
    <t>Fadeeva Alina</t>
  </si>
  <si>
    <t>Open (09.09.1988)/28</t>
  </si>
  <si>
    <t>67,50</t>
  </si>
  <si>
    <t>Osipov Arlan</t>
  </si>
  <si>
    <t>Teen 16-17 (09.12.1999)/17</t>
  </si>
  <si>
    <t>63,70</t>
  </si>
  <si>
    <t>Kazakhstan</t>
  </si>
  <si>
    <t>Kazakhstan/</t>
  </si>
  <si>
    <t>Putilin Matvey</t>
  </si>
  <si>
    <t>Teen 16-17 (01.08.1999)/17</t>
  </si>
  <si>
    <t>Ananyev Aleksandr</t>
  </si>
  <si>
    <t>Fomin Sergey</t>
  </si>
  <si>
    <t>Open (16.04.1983)/33</t>
  </si>
  <si>
    <t>81,40</t>
  </si>
  <si>
    <t>Grigoryev Denis</t>
  </si>
  <si>
    <t>Erdenee Gankhuyag</t>
  </si>
  <si>
    <t>Open (09.12.1969)/47</t>
  </si>
  <si>
    <t>81,20</t>
  </si>
  <si>
    <t>212,5</t>
  </si>
  <si>
    <t>182,5</t>
  </si>
  <si>
    <t>Masters 45-49 (09.12.1969)/47</t>
  </si>
  <si>
    <t>Byambaa Tsegmed</t>
  </si>
  <si>
    <t>Masters 75-79 (09.05.1940)/76</t>
  </si>
  <si>
    <t>75,10</t>
  </si>
  <si>
    <t>Kuzovatov Vasilij</t>
  </si>
  <si>
    <t>Masters 50-54 (09.03.1963)/53</t>
  </si>
  <si>
    <t>89,70</t>
  </si>
  <si>
    <t>Tula/Tulskaya oblast</t>
  </si>
  <si>
    <t>241,0</t>
  </si>
  <si>
    <t>Bogatchenko Andrey</t>
  </si>
  <si>
    <t>Juniors 20-23 (25.09.1994)/22</t>
  </si>
  <si>
    <t>98,60</t>
  </si>
  <si>
    <t>Alekseyevka/Belgorodskaya oblast</t>
  </si>
  <si>
    <t>286,0</t>
  </si>
  <si>
    <t>211,0</t>
  </si>
  <si>
    <t>315,0</t>
  </si>
  <si>
    <t>Kostyannikov O.P.</t>
  </si>
  <si>
    <t>Boldyrev Denis</t>
  </si>
  <si>
    <t>Juniors 20-23 (22.08.1992)/24</t>
  </si>
  <si>
    <t>95,00</t>
  </si>
  <si>
    <t>132,5</t>
  </si>
  <si>
    <t>Open (25.09.1994)/22</t>
  </si>
  <si>
    <t>Karagashev Pavel</t>
  </si>
  <si>
    <t>Open (27.08.1988)/28</t>
  </si>
  <si>
    <t>98,00</t>
  </si>
  <si>
    <t>stanitsa Suvorovskaya/Stavropolskiy kray</t>
  </si>
  <si>
    <t>302,5</t>
  </si>
  <si>
    <t>325,0</t>
  </si>
  <si>
    <t>Larin Aleksey</t>
  </si>
  <si>
    <t>Open (21.04.1988)/28</t>
  </si>
  <si>
    <t>106,20</t>
  </si>
  <si>
    <t>52</t>
  </si>
  <si>
    <t>366,0800</t>
  </si>
  <si>
    <t>405,0</t>
  </si>
  <si>
    <t>364,4798</t>
  </si>
  <si>
    <t>266,8402</t>
  </si>
  <si>
    <t>Teen 16-17</t>
  </si>
  <si>
    <t>470,0</t>
  </si>
  <si>
    <t>323,6185</t>
  </si>
  <si>
    <t>312,5</t>
  </si>
  <si>
    <t>246,0625</t>
  </si>
  <si>
    <t>805,0</t>
  </si>
  <si>
    <t>470,7640</t>
  </si>
  <si>
    <t>512,5</t>
  </si>
  <si>
    <t>304,8863</t>
  </si>
  <si>
    <t>785,0</t>
  </si>
  <si>
    <t>460,2848</t>
  </si>
  <si>
    <t>655,0</t>
  </si>
  <si>
    <t>425,9138</t>
  </si>
  <si>
    <t>710,0</t>
  </si>
  <si>
    <t>403,5995</t>
  </si>
  <si>
    <t>397,2930</t>
  </si>
  <si>
    <t>Masters 75-79</t>
  </si>
  <si>
    <t>392,5</t>
  </si>
  <si>
    <t>506,4846</t>
  </si>
  <si>
    <t>Masters 50-54</t>
  </si>
  <si>
    <t>428,2173</t>
  </si>
  <si>
    <t>424,3089</t>
  </si>
  <si>
    <t>Mekhtiev Romik</t>
  </si>
  <si>
    <t>Open (18.11.1986)/30</t>
  </si>
  <si>
    <t>72,10</t>
  </si>
  <si>
    <t>Rostov-na-Donu/Rostovskaya oblast</t>
  </si>
  <si>
    <t>Khlebas Sergey</t>
  </si>
  <si>
    <t>Open (29.09.1985)/31</t>
  </si>
  <si>
    <t>88,90</t>
  </si>
  <si>
    <t>275,0</t>
  </si>
  <si>
    <t>Derezchovskiy Maksim</t>
  </si>
  <si>
    <t>Open (20.03.1984)/32</t>
  </si>
  <si>
    <t>690,0</t>
  </si>
  <si>
    <t>489,5205</t>
  </si>
  <si>
    <t>735,0</t>
  </si>
  <si>
    <t>452,7968</t>
  </si>
  <si>
    <t>415,2080</t>
  </si>
  <si>
    <t>450,0</t>
  </si>
  <si>
    <t>580,6830</t>
  </si>
  <si>
    <t>Body Weight Category  48</t>
  </si>
  <si>
    <t>Chernousova Anastasiya</t>
  </si>
  <si>
    <t>Teen 16-17 (06.09.1999)/17</t>
  </si>
  <si>
    <t>47,80</t>
  </si>
  <si>
    <t>Novoanninskiy/Volgogradskaya oblast</t>
  </si>
  <si>
    <t>0,0</t>
  </si>
  <si>
    <t>Mandrovskaya Olga</t>
  </si>
  <si>
    <t>Open (20.05.1987)/29</t>
  </si>
  <si>
    <t>55,80</t>
  </si>
  <si>
    <t>Voronezh/Voronezhskaya oblast</t>
  </si>
  <si>
    <t>87,5</t>
  </si>
  <si>
    <t>Yavilyak Nataliya</t>
  </si>
  <si>
    <t>Open (04.09.1983)/33</t>
  </si>
  <si>
    <t>53,20</t>
  </si>
  <si>
    <t>Lazurenko Olga</t>
  </si>
  <si>
    <t>Masters 40-44 (05.09.1971)/45</t>
  </si>
  <si>
    <t>58,80</t>
  </si>
  <si>
    <t>Stepanova Svetlana</t>
  </si>
  <si>
    <t>Open (17.11.1983)/33</t>
  </si>
  <si>
    <t>61,60</t>
  </si>
  <si>
    <t>Belarus</t>
  </si>
  <si>
    <t>Minsk/Minskaya oblast</t>
  </si>
  <si>
    <t>97,5</t>
  </si>
  <si>
    <t>Sinelnikova Milana</t>
  </si>
  <si>
    <t>Open (20.05.1988)/28</t>
  </si>
  <si>
    <t>61,20</t>
  </si>
  <si>
    <t>Vyborg/Leningradskaya oblast</t>
  </si>
  <si>
    <t>62,5</t>
  </si>
  <si>
    <t>Popova Ekaterina</t>
  </si>
  <si>
    <t>Open (07.07.1979)/37</t>
  </si>
  <si>
    <t>Chebotarev Artem</t>
  </si>
  <si>
    <t>Kuchin Igor</t>
  </si>
  <si>
    <t>Open (11.06.1967)/49</t>
  </si>
  <si>
    <t>67,10</t>
  </si>
  <si>
    <t>Syzran/Samarskaya oblast</t>
  </si>
  <si>
    <t>161,0</t>
  </si>
  <si>
    <t>Kuimov Denis</t>
  </si>
  <si>
    <t>Open (10.10.1991)/25</t>
  </si>
  <si>
    <t>Masters 45-49 (11.06.1967)/49</t>
  </si>
  <si>
    <t>Rurich Nikolay</t>
  </si>
  <si>
    <t>Masters 55-59 (31.10.1957)/59</t>
  </si>
  <si>
    <t>Vladimir Volynskiy/Volynskaya oblast</t>
  </si>
  <si>
    <t>Zaripov Borislav</t>
  </si>
  <si>
    <t>Teen 18-19 (06.03.1997)/19</t>
  </si>
  <si>
    <t>73,70</t>
  </si>
  <si>
    <t>Zverevo/Rostovskaya oblast</t>
  </si>
  <si>
    <t>Moradi Farzad</t>
  </si>
  <si>
    <t>Open (24.10.1982)/34</t>
  </si>
  <si>
    <t>Gerasimov Aleksey</t>
  </si>
  <si>
    <t>Teen 18-19 (17.05.1997)/19</t>
  </si>
  <si>
    <t>76,80</t>
  </si>
  <si>
    <t>Naro-Fominsk/Moskovskaya oblast</t>
  </si>
  <si>
    <t>Golubev Daniil</t>
  </si>
  <si>
    <t>Juniors 20-23 (23.06.1994)/22</t>
  </si>
  <si>
    <t>79,80</t>
  </si>
  <si>
    <t>Pitkin Maksim</t>
  </si>
  <si>
    <t>Open (30.03.1992)/24</t>
  </si>
  <si>
    <t>81,50</t>
  </si>
  <si>
    <t>Ghazbanzadeh Hamid</t>
  </si>
  <si>
    <t>Masters 45-49 (21.01.1968)/48</t>
  </si>
  <si>
    <t>80,60</t>
  </si>
  <si>
    <t>Korovin Artem</t>
  </si>
  <si>
    <t>Teen 18-19 (08.06.1997)/19</t>
  </si>
  <si>
    <t>87,00</t>
  </si>
  <si>
    <t>Chertov Vitaliy</t>
  </si>
  <si>
    <t>Juniors 20-23 (21.06.1993)/23</t>
  </si>
  <si>
    <t>88,30</t>
  </si>
  <si>
    <t>Bagheri Amir</t>
  </si>
  <si>
    <t>Open (29.05.1984)/32</t>
  </si>
  <si>
    <t>Latyshev Andrey</t>
  </si>
  <si>
    <t>Masters 40-44 (16.04.1973)/43</t>
  </si>
  <si>
    <t>89,80</t>
  </si>
  <si>
    <t>Sidorenko Vladimir</t>
  </si>
  <si>
    <t>Masters 50-54 (27.10.1961)/55</t>
  </si>
  <si>
    <t>84,70</t>
  </si>
  <si>
    <t>Chris Williams</t>
  </si>
  <si>
    <t>Masters 55-59 (29.01.1959)/57</t>
  </si>
  <si>
    <t>USA</t>
  </si>
  <si>
    <t>USA/</t>
  </si>
  <si>
    <t>Kozlov Vladimir</t>
  </si>
  <si>
    <t>Masters 60-64 (15.06.1954)/62</t>
  </si>
  <si>
    <t>86,30</t>
  </si>
  <si>
    <t>Cherepovets/Vologodskaya oblast</t>
  </si>
  <si>
    <t>Thomas Xavier</t>
  </si>
  <si>
    <t>Masters 60-64 (06.04.1952)/64</t>
  </si>
  <si>
    <t>83,60</t>
  </si>
  <si>
    <t>France</t>
  </si>
  <si>
    <t>Gomel/Gomelskaya oblast</t>
  </si>
  <si>
    <t>Shlapakov Yu.V.</t>
  </si>
  <si>
    <t>Khudoleev Evgeniy</t>
  </si>
  <si>
    <t>Masters 65-69 (10.09.1946)/70</t>
  </si>
  <si>
    <t>89,20</t>
  </si>
  <si>
    <t>Valday/Novgorodskaya oblast</t>
  </si>
  <si>
    <t>Volkov Vladislav</t>
  </si>
  <si>
    <t>Juniors 20-23 (09.09.1992)/24</t>
  </si>
  <si>
    <t>100,00</t>
  </si>
  <si>
    <t>Dunaev Aleksandr</t>
  </si>
  <si>
    <t>Open (17.04.1970)/46</t>
  </si>
  <si>
    <t>97,20</t>
  </si>
  <si>
    <t>Fatiy Dmitriy</t>
  </si>
  <si>
    <t>Open (17.06.1986)/30</t>
  </si>
  <si>
    <t>98,30</t>
  </si>
  <si>
    <t>Kashirskiy Oleg</t>
  </si>
  <si>
    <t>Open (24.11.1987)/29</t>
  </si>
  <si>
    <t>95,70</t>
  </si>
  <si>
    <t>Golubev Andrey</t>
  </si>
  <si>
    <t>Masters 45-49 (22.12.1966)/50</t>
  </si>
  <si>
    <t>97,60</t>
  </si>
  <si>
    <t>Sumin Andrey</t>
  </si>
  <si>
    <t>Masters 55-59 (23.06.1961)/55</t>
  </si>
  <si>
    <t>207,5</t>
  </si>
  <si>
    <t>Molchanov Yuriy</t>
  </si>
  <si>
    <t>Masters 60-64 (08.12.1951)/65</t>
  </si>
  <si>
    <t>97,50</t>
  </si>
  <si>
    <t>Bryansk/Bryanskaya oblast</t>
  </si>
  <si>
    <t>Shagov Semen</t>
  </si>
  <si>
    <t>Open (29.10.1987)/29</t>
  </si>
  <si>
    <t>105,70</t>
  </si>
  <si>
    <t>Bugakov Denis</t>
  </si>
  <si>
    <t>Open (23.07.1987)/29</t>
  </si>
  <si>
    <t>106,00</t>
  </si>
  <si>
    <t>Yermolayev Sergey Anatolyevich</t>
  </si>
  <si>
    <t>Bulatnikov Roman</t>
  </si>
  <si>
    <t>Masters 45-49 (24.04.1970)/46</t>
  </si>
  <si>
    <t>107,80</t>
  </si>
  <si>
    <t>197,5</t>
  </si>
  <si>
    <t>Bauer Aleksandr</t>
  </si>
  <si>
    <t>Masters 45-49 (16.03.1968)/48</t>
  </si>
  <si>
    <t>106,90</t>
  </si>
  <si>
    <t>Germany</t>
  </si>
  <si>
    <t>Pedchenko Aleksandr</t>
  </si>
  <si>
    <t>Juniors 20-23 (20.05.1993)/23</t>
  </si>
  <si>
    <t>119,30</t>
  </si>
  <si>
    <t>Rumyantsev Mikhail</t>
  </si>
  <si>
    <t>Open (12.04.1985)/31</t>
  </si>
  <si>
    <t>111,00</t>
  </si>
  <si>
    <t>Vladimir/Vladimirskaya oblast</t>
  </si>
  <si>
    <t>Shumikhin Mikhail</t>
  </si>
  <si>
    <t>Open (19.09.1968)/48</t>
  </si>
  <si>
    <t>118,60</t>
  </si>
  <si>
    <t>Astana/Kazakhstan</t>
  </si>
  <si>
    <t>Lomonosov Vitaliy</t>
  </si>
  <si>
    <t>Open (10.06.1987)/29</t>
  </si>
  <si>
    <t>Kondratenko Dmitriy</t>
  </si>
  <si>
    <t>Open (21.04.1973)/43</t>
  </si>
  <si>
    <t>116,20</t>
  </si>
  <si>
    <t>Solnechnogorsk/Moskovskaya oblast</t>
  </si>
  <si>
    <t>Molchanov Sergey</t>
  </si>
  <si>
    <t>Open (15.03.1973)/43</t>
  </si>
  <si>
    <t>119,00</t>
  </si>
  <si>
    <t>352,5</t>
  </si>
  <si>
    <t>Veretennikov Anatoliy</t>
  </si>
  <si>
    <t>Masters 40-44 (14.07.1976)/40</t>
  </si>
  <si>
    <t>117,70</t>
  </si>
  <si>
    <t>Masters 40-44 (21.04.1973)/43</t>
  </si>
  <si>
    <t>Masters 45-49 (19.09.1968)/48</t>
  </si>
  <si>
    <t>Safronov Oleg</t>
  </si>
  <si>
    <t>Masters 50-54 (07.07.1966)/50</t>
  </si>
  <si>
    <t>110,50</t>
  </si>
  <si>
    <t>Chubarov Vladimir</t>
  </si>
  <si>
    <t>Masters 50-54 (03.04.1964)/52</t>
  </si>
  <si>
    <t>119,80</t>
  </si>
  <si>
    <t>Body Weight Category  140</t>
  </si>
  <si>
    <t>Zakharenko Dmitriy</t>
  </si>
  <si>
    <t>Open (28.02.1980)/36</t>
  </si>
  <si>
    <t>128,40</t>
  </si>
  <si>
    <t>Akimov Yuriy</t>
  </si>
  <si>
    <t>Kotov Victor</t>
  </si>
  <si>
    <t>Open (10.10.1989)/27</t>
  </si>
  <si>
    <t>125,10</t>
  </si>
  <si>
    <t>177,5</t>
  </si>
  <si>
    <t>48</t>
  </si>
  <si>
    <t>56,1783</t>
  </si>
  <si>
    <t>94,2825</t>
  </si>
  <si>
    <t>88,9865</t>
  </si>
  <si>
    <t>80,1750</t>
  </si>
  <si>
    <t>78,8583</t>
  </si>
  <si>
    <t>58,3260</t>
  </si>
  <si>
    <t>112,5374</t>
  </si>
  <si>
    <t>99,8160</t>
  </si>
  <si>
    <t>90,6815</t>
  </si>
  <si>
    <t>81,2100</t>
  </si>
  <si>
    <t>129,6378</t>
  </si>
  <si>
    <t>98,8210</t>
  </si>
  <si>
    <t>95,8597</t>
  </si>
  <si>
    <t>92,2530</t>
  </si>
  <si>
    <t>123,9390</t>
  </si>
  <si>
    <t>123,5955</t>
  </si>
  <si>
    <t>123,4420</t>
  </si>
  <si>
    <t>121,5280</t>
  </si>
  <si>
    <t>120,3520</t>
  </si>
  <si>
    <t>120,2037</t>
  </si>
  <si>
    <t>119,5740</t>
  </si>
  <si>
    <t>119,4585</t>
  </si>
  <si>
    <t>112,7280</t>
  </si>
  <si>
    <t>112,6415</t>
  </si>
  <si>
    <t>112,2600</t>
  </si>
  <si>
    <t>112,1700</t>
  </si>
  <si>
    <t>111,1935</t>
  </si>
  <si>
    <t>140</t>
  </si>
  <si>
    <t>111,0957</t>
  </si>
  <si>
    <t>98,0800</t>
  </si>
  <si>
    <t>97,1075</t>
  </si>
  <si>
    <t>96,8014</t>
  </si>
  <si>
    <t>Masters 55-59</t>
  </si>
  <si>
    <t>157,6036</t>
  </si>
  <si>
    <t>Masters 60-64</t>
  </si>
  <si>
    <t>137,5293</t>
  </si>
  <si>
    <t>133,9518</t>
  </si>
  <si>
    <t>131,4933</t>
  </si>
  <si>
    <t>Masters 65-69</t>
  </si>
  <si>
    <t>128,6986</t>
  </si>
  <si>
    <t>120,0022</t>
  </si>
  <si>
    <t>118,7547</t>
  </si>
  <si>
    <t>108,9074</t>
  </si>
  <si>
    <t>108,7694</t>
  </si>
  <si>
    <t>106,8670</t>
  </si>
  <si>
    <t>106,5866</t>
  </si>
  <si>
    <t>105,1270</t>
  </si>
  <si>
    <t>102,7344</t>
  </si>
  <si>
    <t>101,5734</t>
  </si>
  <si>
    <t>100,5181</t>
  </si>
  <si>
    <t>100,1178</t>
  </si>
  <si>
    <t>93,7461</t>
  </si>
  <si>
    <t>93,0991</t>
  </si>
  <si>
    <t>88,2673</t>
  </si>
  <si>
    <t>88,0778</t>
  </si>
  <si>
    <t>Rumyantseva Svetlana</t>
  </si>
  <si>
    <t>Open (16.05.1988)/28</t>
  </si>
  <si>
    <t>71,70</t>
  </si>
  <si>
    <t>Sirdani Abolfazl</t>
  </si>
  <si>
    <t>Open (17.06.1987)/29</t>
  </si>
  <si>
    <t>Zubkov Aleksey</t>
  </si>
  <si>
    <t>Open (19.08.1979)/37</t>
  </si>
  <si>
    <t>73,00</t>
  </si>
  <si>
    <t>Tamilin Mikhail</t>
  </si>
  <si>
    <t>Kandaurov Sergey</t>
  </si>
  <si>
    <t>Masters 40-44 (29.05.1974)/42</t>
  </si>
  <si>
    <t>82,30</t>
  </si>
  <si>
    <t>Popov Sergey</t>
  </si>
  <si>
    <t>Masters 40-44 (31.05.1974)/42</t>
  </si>
  <si>
    <t>Astrakhan/Astrakhanskaya oblast</t>
  </si>
  <si>
    <t>Kalita Igor</t>
  </si>
  <si>
    <t>Urazov Vladimir</t>
  </si>
  <si>
    <t>Masters 45-49 (21.10.1967)/49</t>
  </si>
  <si>
    <t>Buy/Kostromskaya oblast</t>
  </si>
  <si>
    <t>Evtushenko Pavel</t>
  </si>
  <si>
    <t>Open (09.01.1985)/31</t>
  </si>
  <si>
    <t>98,80</t>
  </si>
  <si>
    <t>Seifouri Hossein</t>
  </si>
  <si>
    <t>Open (06.09.1982)/34</t>
  </si>
  <si>
    <t>98,40</t>
  </si>
  <si>
    <t>Saghaei Javad</t>
  </si>
  <si>
    <t>Masters 40-44 (11.04.1976)/40</t>
  </si>
  <si>
    <t>99,40</t>
  </si>
  <si>
    <t>Chebotarev Roman</t>
  </si>
  <si>
    <t>Open (17.05.1983)/33</t>
  </si>
  <si>
    <t>104,60</t>
  </si>
  <si>
    <t>Isaev Aleksey</t>
  </si>
  <si>
    <t>Open (20.06.1975)/41</t>
  </si>
  <si>
    <t>108,50</t>
  </si>
  <si>
    <t>Masters 40-44 (20.06.1975)/41</t>
  </si>
  <si>
    <t>Ashikhmin Sergey</t>
  </si>
  <si>
    <t>Open (26.03.1978)/38</t>
  </si>
  <si>
    <t>110,90</t>
  </si>
  <si>
    <t>252,5</t>
  </si>
  <si>
    <t>Medvedev Aleksandr</t>
  </si>
  <si>
    <t>Masters 40-44 (14.12.1971)/45</t>
  </si>
  <si>
    <t>113,90</t>
  </si>
  <si>
    <t>Mordvintsev Oleg</t>
  </si>
  <si>
    <t>Masters 40-44 (21.03.1973)/43</t>
  </si>
  <si>
    <t>113,40</t>
  </si>
  <si>
    <t>Rasskazovo/Tambovskaya oblast</t>
  </si>
  <si>
    <t>129,3075</t>
  </si>
  <si>
    <t>145,9120</t>
  </si>
  <si>
    <t>143,1535</t>
  </si>
  <si>
    <t>122,2176</t>
  </si>
  <si>
    <t>108,2897</t>
  </si>
  <si>
    <t>86,2902</t>
  </si>
  <si>
    <t>79,6900</t>
  </si>
  <si>
    <t>148,6140</t>
  </si>
  <si>
    <t>145,1951</t>
  </si>
  <si>
    <t>142,4608</t>
  </si>
  <si>
    <t>125,1173</t>
  </si>
  <si>
    <t>119,6636</t>
  </si>
  <si>
    <t>117,9467</t>
  </si>
  <si>
    <t>114,8778</t>
  </si>
  <si>
    <t>Kamyshov Artem</t>
  </si>
  <si>
    <t>Open (27.09.1986)/30</t>
  </si>
  <si>
    <t>96,50</t>
  </si>
  <si>
    <t>Saratov/Saratovskaya oblast</t>
  </si>
  <si>
    <t>Stoguntsov T.V.</t>
  </si>
  <si>
    <t>Ristsov Aleksandr</t>
  </si>
  <si>
    <t>Open (02.12.1979)/37</t>
  </si>
  <si>
    <t>109,40</t>
  </si>
  <si>
    <t>Tambov/Tambovskaya oblast</t>
  </si>
  <si>
    <t>265,0</t>
  </si>
  <si>
    <t>272,5</t>
  </si>
  <si>
    <t>Pivovarov Oleg</t>
  </si>
  <si>
    <t>Masters 50-54 (18.03.1963)/53</t>
  </si>
  <si>
    <t>Kazan/Tatarstan</t>
  </si>
  <si>
    <t>153,5129</t>
  </si>
  <si>
    <t>106,2900</t>
  </si>
  <si>
    <t>160,4652</t>
  </si>
  <si>
    <t>Body Weight Category  44</t>
  </si>
  <si>
    <t>Kruzina Asya</t>
  </si>
  <si>
    <t>Open (24.12.1986)/30</t>
  </si>
  <si>
    <t>43,20</t>
  </si>
  <si>
    <t>42,5</t>
  </si>
  <si>
    <t>Kovaleva Yuliya</t>
  </si>
  <si>
    <t>Open (10.07.1983)/33</t>
  </si>
  <si>
    <t>55,00</t>
  </si>
  <si>
    <t>lichno</t>
  </si>
  <si>
    <t>Taganrog/Rostovskaya oblast</t>
  </si>
  <si>
    <t>Okhapkina Svetlana</t>
  </si>
  <si>
    <t>Open (25.02.1977)/39</t>
  </si>
  <si>
    <t>59,90</t>
  </si>
  <si>
    <t>77,5</t>
  </si>
  <si>
    <t>Rizaeva Olga</t>
  </si>
  <si>
    <t>Open (29.04.1975)/41</t>
  </si>
  <si>
    <t>66,60</t>
  </si>
  <si>
    <t>Kamyshin/Volgogradskaya oblast</t>
  </si>
  <si>
    <t>Nefyodova Yuliya</t>
  </si>
  <si>
    <t>Open (21.10.1985)/31</t>
  </si>
  <si>
    <t>Masters 40-44 (29.04.1975)/41</t>
  </si>
  <si>
    <t>Vishnevskaya Marina</t>
  </si>
  <si>
    <t>Open (26.10.1985)/31</t>
  </si>
  <si>
    <t>69,30</t>
  </si>
  <si>
    <t>Obraztsova Tatiyana</t>
  </si>
  <si>
    <t>Open (02.07.1978)/38</t>
  </si>
  <si>
    <t>69,60</t>
  </si>
  <si>
    <t>Rzhev/Tverskaya oblast</t>
  </si>
  <si>
    <t>Ulshina Evgeniya</t>
  </si>
  <si>
    <t>Masters 45-49 (11.05.1969)/47</t>
  </si>
  <si>
    <t>78,50</t>
  </si>
  <si>
    <t>Volchayev Sergey</t>
  </si>
  <si>
    <t>Grachev Nikolay</t>
  </si>
  <si>
    <t>Masters 60-64 (16.04.1956)/60</t>
  </si>
  <si>
    <t>51,50</t>
  </si>
  <si>
    <t>67,5</t>
  </si>
  <si>
    <t>73,0</t>
  </si>
  <si>
    <t>Grachev Yuriy, Gracheva Tatyana</t>
  </si>
  <si>
    <t>Gonchar Sergey</t>
  </si>
  <si>
    <t>Juniors 20-23 (26.06.1996)/20</t>
  </si>
  <si>
    <t>54,80</t>
  </si>
  <si>
    <t>Moldova</t>
  </si>
  <si>
    <t>Bendere/</t>
  </si>
  <si>
    <t>103,0</t>
  </si>
  <si>
    <t>Yermagambetov Batyrkhan</t>
  </si>
  <si>
    <t>Teen 16-17 (09.05.1999)/17</t>
  </si>
  <si>
    <t>58,90</t>
  </si>
  <si>
    <t>Petrakov Nikolay</t>
  </si>
  <si>
    <t>Teen 16-17 (17.09.1999)/17</t>
  </si>
  <si>
    <t>62,80</t>
  </si>
  <si>
    <t>Semerenko Aleksandr</t>
  </si>
  <si>
    <t>Juniors 20-23 (02.05.1996)/20</t>
  </si>
  <si>
    <t>65,80</t>
  </si>
  <si>
    <t>Pridnestrovye</t>
  </si>
  <si>
    <t>180,5</t>
  </si>
  <si>
    <t>138,0</t>
  </si>
  <si>
    <t>Nikitchenko Yuriy</t>
  </si>
  <si>
    <t>Open (27.06.1977)/39</t>
  </si>
  <si>
    <t>127,5</t>
  </si>
  <si>
    <t>66,40</t>
  </si>
  <si>
    <t>Boronnikov Dmitry</t>
  </si>
  <si>
    <t>Teen 13-15 (30.12.2002)/14</t>
  </si>
  <si>
    <t>67,90</t>
  </si>
  <si>
    <t>Belovodsk/Luganskaya oblast</t>
  </si>
  <si>
    <t>Bizhoev Alim</t>
  </si>
  <si>
    <t>Teen 18-19 (13.08.1996)/20</t>
  </si>
  <si>
    <t>73,10</t>
  </si>
  <si>
    <t>Nalchik/Kabardino-Balkariya</t>
  </si>
  <si>
    <t>Gubzhev B.R.</t>
  </si>
  <si>
    <t>Anisimkov Valeriy</t>
  </si>
  <si>
    <t>Teen 18-19 (21.03.1998)/18</t>
  </si>
  <si>
    <t>70,10</t>
  </si>
  <si>
    <t>202,5</t>
  </si>
  <si>
    <t>Litvinov S.Yu.</t>
  </si>
  <si>
    <t>Zakaunov Beslan</t>
  </si>
  <si>
    <t>Teen 18-19 (28.10.1997)/19</t>
  </si>
  <si>
    <t>74,60</t>
  </si>
  <si>
    <t>142,5</t>
  </si>
  <si>
    <t>Kurasov Nikita</t>
  </si>
  <si>
    <t>Teen 18-19 (21.03.1997)/19</t>
  </si>
  <si>
    <t>71,50</t>
  </si>
  <si>
    <t>Polezhaev Aleksey</t>
  </si>
  <si>
    <t>Juniors 20-23 (24.05.1994)/22</t>
  </si>
  <si>
    <t>72,40</t>
  </si>
  <si>
    <t>Borisovka/Belgorodskaya oblast</t>
  </si>
  <si>
    <t>Petrovskiy Aleksey</t>
  </si>
  <si>
    <t>Guatizhev Vadim</t>
  </si>
  <si>
    <t>Juniors 20-23 (10.06.1996)/20</t>
  </si>
  <si>
    <t>72,00</t>
  </si>
  <si>
    <t>222,5</t>
  </si>
  <si>
    <t>Ayvazov Sergey</t>
  </si>
  <si>
    <t>Open (19.07.1977)/39</t>
  </si>
  <si>
    <t>73,30</t>
  </si>
  <si>
    <t>Mineralnye Vody/Stavropolskiy kray</t>
  </si>
  <si>
    <t>Sotnikov Aleksey</t>
  </si>
  <si>
    <t>Open (07.06.1985)/31</t>
  </si>
  <si>
    <t>69,50</t>
  </si>
  <si>
    <t>Murashko R.V.</t>
  </si>
  <si>
    <t>Zaikin Denis</t>
  </si>
  <si>
    <t>Open (14.02.1986)/30</t>
  </si>
  <si>
    <t>73,60</t>
  </si>
  <si>
    <t>Loyko Vadim</t>
  </si>
  <si>
    <t>Juniors 20-23 (16.04.1994)/22</t>
  </si>
  <si>
    <t>79,10</t>
  </si>
  <si>
    <t>Batbold Otgonbaatar</t>
  </si>
  <si>
    <t>Juniors 20-23 (04.04.1996)/20</t>
  </si>
  <si>
    <t>Tligurov Murat</t>
  </si>
  <si>
    <t>Juniors 20-23 (25.08.1993)/23</t>
  </si>
  <si>
    <t>79,30</t>
  </si>
  <si>
    <t>Tubaev Imran</t>
  </si>
  <si>
    <t>Juniors 20-23 (03.12.1994)/22</t>
  </si>
  <si>
    <t>81,70</t>
  </si>
  <si>
    <t>Perov Vasiliy</t>
  </si>
  <si>
    <t>Open (06.03.1979)/37</t>
  </si>
  <si>
    <t>82,00</t>
  </si>
  <si>
    <t>Mytishchi/Moskovskaya oblast</t>
  </si>
  <si>
    <t>190,5</t>
  </si>
  <si>
    <t>262,5</t>
  </si>
  <si>
    <t>Ershov Oleg</t>
  </si>
  <si>
    <t>Open (09.04.1991)/25</t>
  </si>
  <si>
    <t>80,40</t>
  </si>
  <si>
    <t>Saprykin Dmitriy</t>
  </si>
  <si>
    <t>Open (19.06.1989)/27</t>
  </si>
  <si>
    <t>81,90</t>
  </si>
  <si>
    <t>147,5</t>
  </si>
  <si>
    <t>Vorotnikov Aleksey</t>
  </si>
  <si>
    <t>Open (08.10.1980)/36</t>
  </si>
  <si>
    <t>82,40</t>
  </si>
  <si>
    <t>Paul Coats</t>
  </si>
  <si>
    <t>Open (05.01.1967)/49</t>
  </si>
  <si>
    <t>Ershov Konstantin</t>
  </si>
  <si>
    <t>Open (14.10.1989)/27</t>
  </si>
  <si>
    <t>82,20</t>
  </si>
  <si>
    <t>Durnov Roman</t>
  </si>
  <si>
    <t>Chkhikvadze Viktor</t>
  </si>
  <si>
    <t>Open (12.04.1987)/29</t>
  </si>
  <si>
    <t>Masters 45-49 (05.01.1967)/49</t>
  </si>
  <si>
    <t>Khomenko Valeriy</t>
  </si>
  <si>
    <t>Masters 60-64 (03.09.1951)/65</t>
  </si>
  <si>
    <t>76,30</t>
  </si>
  <si>
    <t>Nakhodka/Primorskiy kray</t>
  </si>
  <si>
    <t>Bokarev Saveliy</t>
  </si>
  <si>
    <t>Teen 16-17 (30.10.1998)/18</t>
  </si>
  <si>
    <t>185,5</t>
  </si>
  <si>
    <t>Volobuev Nikita</t>
  </si>
  <si>
    <t>Teen 16-17 (17.04.1999)/17</t>
  </si>
  <si>
    <t>88,40</t>
  </si>
  <si>
    <t>Adriano Gustav</t>
  </si>
  <si>
    <t>Juniors 20-23 (06.11.1993)/23</t>
  </si>
  <si>
    <t>87,60</t>
  </si>
  <si>
    <t>Great Britain</t>
  </si>
  <si>
    <t>UK/Great Britain</t>
  </si>
  <si>
    <t>Dolgov Eduard</t>
  </si>
  <si>
    <t>Open (27.09.1987)/29</t>
  </si>
  <si>
    <t>89,50</t>
  </si>
  <si>
    <t>Kuznetsov Igor</t>
  </si>
  <si>
    <t>Open (02.08.1982)/34</t>
  </si>
  <si>
    <t>88,70</t>
  </si>
  <si>
    <t>Zhelnin Aleksey</t>
  </si>
  <si>
    <t>Masters 40-44 (30.05.1975)/41</t>
  </si>
  <si>
    <t>Dobryanka/Permskiy kray</t>
  </si>
  <si>
    <t>Zakharov Klim</t>
  </si>
  <si>
    <t>Masters 40-44 (01.05.1974)/42</t>
  </si>
  <si>
    <t>88,80</t>
  </si>
  <si>
    <t>Noyabrsk/Yamalo-Nenetskiy avt. okr.</t>
  </si>
  <si>
    <t>Runov Sergey</t>
  </si>
  <si>
    <t>Masters 45-49 (23.02.1971)/45</t>
  </si>
  <si>
    <t>89,10</t>
  </si>
  <si>
    <t>Davydovo/Moskovskaya oblast</t>
  </si>
  <si>
    <t>Gudin Mikhail</t>
  </si>
  <si>
    <t>Masters 50-54 (11.06.1965)/51</t>
  </si>
  <si>
    <t>Gadzhiev Abdulla</t>
  </si>
  <si>
    <t>Masters 60-64 (18.04.1956)/60</t>
  </si>
  <si>
    <t>89,40</t>
  </si>
  <si>
    <t>Izberbash/Dagestan</t>
  </si>
  <si>
    <t>Tyulparov Shamil</t>
  </si>
  <si>
    <t>Zhuravlev Stanislav</t>
  </si>
  <si>
    <t>Masters 75-79 (09.08.1939)/77</t>
  </si>
  <si>
    <t>83,20</t>
  </si>
  <si>
    <t>Novikov Nikolay</t>
  </si>
  <si>
    <t>Masters 75-79 (18.06.1938)/78</t>
  </si>
  <si>
    <t>88,00</t>
  </si>
  <si>
    <t>Nakhabino/Moskovskaya oblast</t>
  </si>
  <si>
    <t>Gadzhiev Dmitry</t>
  </si>
  <si>
    <t>Teen 18-19 (28.08.1997)/19</t>
  </si>
  <si>
    <t>93,60</t>
  </si>
  <si>
    <t>220,5</t>
  </si>
  <si>
    <t>277,5</t>
  </si>
  <si>
    <t>Gadzhiyev Rafail</t>
  </si>
  <si>
    <t>Koltsov Pavel</t>
  </si>
  <si>
    <t>Juniors 20-23 (11.08.1993)/23</t>
  </si>
  <si>
    <t>99,70</t>
  </si>
  <si>
    <t>Kostroma/Kostromskaya oblast</t>
  </si>
  <si>
    <t>Kodzoev Osman</t>
  </si>
  <si>
    <t>Juniors 20-23 (11.02.1993)/23</t>
  </si>
  <si>
    <t>90,70</t>
  </si>
  <si>
    <t>Nazran/Ingushetiya</t>
  </si>
  <si>
    <t>Osipov K.P., Kotiyev Kh.I.</t>
  </si>
  <si>
    <t>Olzvoi Gantumur</t>
  </si>
  <si>
    <t>Open (02.03.1981)/35</t>
  </si>
  <si>
    <t>95,90</t>
  </si>
  <si>
    <t>Nefedov Ilya</t>
  </si>
  <si>
    <t>Masters 40-44 (25.05.1972)/44</t>
  </si>
  <si>
    <t>Kirovsk/Leningradskaya oblast</t>
  </si>
  <si>
    <t>Nikolaev Sergey</t>
  </si>
  <si>
    <t>Masters 40-44 (31.10.1974)/42</t>
  </si>
  <si>
    <t>98,50</t>
  </si>
  <si>
    <t>Bor/Nizhegorodskaya oblast</t>
  </si>
  <si>
    <t>Kozhevnikov Aleksandr</t>
  </si>
  <si>
    <t>Juniors 20-23 (03.09.1992)/24</t>
  </si>
  <si>
    <t>106,30</t>
  </si>
  <si>
    <t>Neznamov Maksim</t>
  </si>
  <si>
    <t>Open (21.02.1978)/38</t>
  </si>
  <si>
    <t>Khimki/Moskovskaya oblast</t>
  </si>
  <si>
    <t>Mirzayev Ilham</t>
  </si>
  <si>
    <t>Masters 45-49 (24.09.1970)/46</t>
  </si>
  <si>
    <t>Azerbaydzhan</t>
  </si>
  <si>
    <t>Baku/Azerbaydzhan</t>
  </si>
  <si>
    <t>Yandiev Savarbek</t>
  </si>
  <si>
    <t>Masters 55-59 (05.11.1960)/56</t>
  </si>
  <si>
    <t>107,20</t>
  </si>
  <si>
    <t>Adylkhanov Malik</t>
  </si>
  <si>
    <t>Teen 16-17 (24.02.1999)/17</t>
  </si>
  <si>
    <t>121,20</t>
  </si>
  <si>
    <t>Oleynikov Sergey</t>
  </si>
  <si>
    <t>Open (01.10.1981)/35</t>
  </si>
  <si>
    <t>115,00</t>
  </si>
  <si>
    <t>267,5</t>
  </si>
  <si>
    <t>Ovod Andrey</t>
  </si>
  <si>
    <t>Open (14.09.1985)/31</t>
  </si>
  <si>
    <t>112,50</t>
  </si>
  <si>
    <t>Podolsk/Moskovskaya oblast</t>
  </si>
  <si>
    <t>121,80</t>
  </si>
  <si>
    <t>Chernishov Vladimir</t>
  </si>
  <si>
    <t>Masters 65-69 (04.09.1948)/68</t>
  </si>
  <si>
    <t>143,0</t>
  </si>
  <si>
    <t>Markin Nikolay</t>
  </si>
  <si>
    <t>Open (14.03.1981)/35</t>
  </si>
  <si>
    <t>129,70</t>
  </si>
  <si>
    <t>372,5</t>
  </si>
  <si>
    <t>368,3653</t>
  </si>
  <si>
    <t>332,5</t>
  </si>
  <si>
    <t>302,2924</t>
  </si>
  <si>
    <t>322,5</t>
  </si>
  <si>
    <t>283,7839</t>
  </si>
  <si>
    <t>375,0</t>
  </si>
  <si>
    <t>274,5750</t>
  </si>
  <si>
    <t>272,7450</t>
  </si>
  <si>
    <t>262,1273</t>
  </si>
  <si>
    <t>44</t>
  </si>
  <si>
    <t>261,2930</t>
  </si>
  <si>
    <t>305,3153</t>
  </si>
  <si>
    <t>232,6814</t>
  </si>
  <si>
    <t>652,5</t>
  </si>
  <si>
    <t>391,0433</t>
  </si>
  <si>
    <t>460,0</t>
  </si>
  <si>
    <t>366,9420</t>
  </si>
  <si>
    <t>510,0</t>
  </si>
  <si>
    <t>357,9690</t>
  </si>
  <si>
    <t>490,0</t>
  </si>
  <si>
    <t>355,4460</t>
  </si>
  <si>
    <t>535,0</t>
  </si>
  <si>
    <t>330,8707</t>
  </si>
  <si>
    <t>435,0</t>
  </si>
  <si>
    <t>300,6938</t>
  </si>
  <si>
    <t>407,5</t>
  </si>
  <si>
    <t>290,9754</t>
  </si>
  <si>
    <t>281,9766</t>
  </si>
  <si>
    <t>370,0</t>
  </si>
  <si>
    <t>203,3890</t>
  </si>
  <si>
    <t>193,6220</t>
  </si>
  <si>
    <t>632,5</t>
  </si>
  <si>
    <t>419,2842</t>
  </si>
  <si>
    <t>527,5</t>
  </si>
  <si>
    <t>403,5639</t>
  </si>
  <si>
    <t>368,6265</t>
  </si>
  <si>
    <t>390,0</t>
  </si>
  <si>
    <t>356,0895</t>
  </si>
  <si>
    <t>355,0505</t>
  </si>
  <si>
    <t>600,0</t>
  </si>
  <si>
    <t>340,9800</t>
  </si>
  <si>
    <t>480,0</t>
  </si>
  <si>
    <t>339,4080</t>
  </si>
  <si>
    <t>329,2560</t>
  </si>
  <si>
    <t>567,5</t>
  </si>
  <si>
    <t>318,2824</t>
  </si>
  <si>
    <t>472,5</t>
  </si>
  <si>
    <t>293,5879</t>
  </si>
  <si>
    <t>382,5</t>
  </si>
  <si>
    <t>271,6515</t>
  </si>
  <si>
    <t>740,0</t>
  </si>
  <si>
    <t>454,1750</t>
  </si>
  <si>
    <t>620,0</t>
  </si>
  <si>
    <t>426,9010</t>
  </si>
  <si>
    <t>657,5</t>
  </si>
  <si>
    <t>425,5011</t>
  </si>
  <si>
    <t>562,5</t>
  </si>
  <si>
    <t>420,9750</t>
  </si>
  <si>
    <t>630,0</t>
  </si>
  <si>
    <t>412,0200</t>
  </si>
  <si>
    <t>705,0</t>
  </si>
  <si>
    <t>411,4027</t>
  </si>
  <si>
    <t>592,5</t>
  </si>
  <si>
    <t>388,4726</t>
  </si>
  <si>
    <t>712,5</t>
  </si>
  <si>
    <t>385,1775</t>
  </si>
  <si>
    <t>545,0</t>
  </si>
  <si>
    <t>381,7453</t>
  </si>
  <si>
    <t>685,0</t>
  </si>
  <si>
    <t>381,0312</t>
  </si>
  <si>
    <t>378,8753</t>
  </si>
  <si>
    <t>372,5295</t>
  </si>
  <si>
    <t>555,0</t>
  </si>
  <si>
    <t>360,6112</t>
  </si>
  <si>
    <t>557,5</t>
  </si>
  <si>
    <t>359,6432</t>
  </si>
  <si>
    <t>355,7610</t>
  </si>
  <si>
    <t>353,6624</t>
  </si>
  <si>
    <t>612,5</t>
  </si>
  <si>
    <t>336,2931</t>
  </si>
  <si>
    <t>537,5</t>
  </si>
  <si>
    <t>331,5569</t>
  </si>
  <si>
    <t>297,2290</t>
  </si>
  <si>
    <t>272,3370</t>
  </si>
  <si>
    <t>402,5</t>
  </si>
  <si>
    <t>261,7256</t>
  </si>
  <si>
    <t>527,2632</t>
  </si>
  <si>
    <t>491,8519</t>
  </si>
  <si>
    <t>486,0927</t>
  </si>
  <si>
    <t>560,0</t>
  </si>
  <si>
    <t>460,8582</t>
  </si>
  <si>
    <t>445,0</t>
  </si>
  <si>
    <t>438,7377</t>
  </si>
  <si>
    <t>401,3603</t>
  </si>
  <si>
    <t>575,0</t>
  </si>
  <si>
    <t>399,2045</t>
  </si>
  <si>
    <t>378,1668</t>
  </si>
  <si>
    <t>369,7676</t>
  </si>
  <si>
    <t>348,6313</t>
  </si>
  <si>
    <t>331,0622</t>
  </si>
  <si>
    <t>326,6605</t>
  </si>
  <si>
    <t>475,0</t>
  </si>
  <si>
    <t>298,6700</t>
  </si>
  <si>
    <t>412,5</t>
  </si>
  <si>
    <t>295,1668</t>
  </si>
  <si>
    <t>440,0</t>
  </si>
  <si>
    <t>263,0389</t>
  </si>
  <si>
    <t>Kosintseva Anastasiya</t>
  </si>
  <si>
    <t>Juniors 20-23 (17.09.1995)/21</t>
  </si>
  <si>
    <t>43,60</t>
  </si>
  <si>
    <t>Tyumen/Tyumenskaya oblast</t>
  </si>
  <si>
    <t>Borodina Nataliya</t>
  </si>
  <si>
    <t>Juniors 20-23 (17.04.1996)/20</t>
  </si>
  <si>
    <t>43,70</t>
  </si>
  <si>
    <t>115,5</t>
  </si>
  <si>
    <t>125,5</t>
  </si>
  <si>
    <t>Umerenkov I.Yu.</t>
  </si>
  <si>
    <t>Rizhikh Olga</t>
  </si>
  <si>
    <t>Open (16.05.1979)/37</t>
  </si>
  <si>
    <t>48,00</t>
  </si>
  <si>
    <t>Enina Elena</t>
  </si>
  <si>
    <t>Open (10.05.1989)/27</t>
  </si>
  <si>
    <t>47,90</t>
  </si>
  <si>
    <t>Nebivaeva Karina</t>
  </si>
  <si>
    <t>Open (06.01.1984)/32</t>
  </si>
  <si>
    <t>52,00</t>
  </si>
  <si>
    <t>57,5</t>
  </si>
  <si>
    <t>Kamishnikova Marina</t>
  </si>
  <si>
    <t>Open (16.02.1979)/37</t>
  </si>
  <si>
    <t>51,70</t>
  </si>
  <si>
    <t>Dorodnykh V.N.</t>
  </si>
  <si>
    <t>Khalina Tatiyana</t>
  </si>
  <si>
    <t>Juniors 20-23 (24.04.1993)/23</t>
  </si>
  <si>
    <t>55,60</t>
  </si>
  <si>
    <t>Medvedeva Polina</t>
  </si>
  <si>
    <t>Juniors 20-23 (28.01.1996)/20</t>
  </si>
  <si>
    <t>57,80</t>
  </si>
  <si>
    <t>Kartashov Sergey</t>
  </si>
  <si>
    <t>Vins Yuliya</t>
  </si>
  <si>
    <t>Juniors 20-23 (21.05.1996)/20</t>
  </si>
  <si>
    <t>67,40</t>
  </si>
  <si>
    <t>Peredriy Daniil</t>
  </si>
  <si>
    <t>Teen 16-17 (12.10.1999)/17</t>
  </si>
  <si>
    <t>60,00</t>
  </si>
  <si>
    <t>Dorjpalam Battogtokh</t>
  </si>
  <si>
    <t>Open (04.02.1987)/29</t>
  </si>
  <si>
    <t>67,20</t>
  </si>
  <si>
    <t>Pisarev Aleksandr</t>
  </si>
  <si>
    <t>Teen 18-19 (05.06.1998)/18</t>
  </si>
  <si>
    <t>73,80</t>
  </si>
  <si>
    <t>Dubna/Moskovskaya oblast</t>
  </si>
  <si>
    <t>287,5</t>
  </si>
  <si>
    <t>Open (23.09.1986)/30</t>
  </si>
  <si>
    <t>Pisarev Sergey</t>
  </si>
  <si>
    <t>Open (16.07.1991)/25</t>
  </si>
  <si>
    <t>Skokin Victor</t>
  </si>
  <si>
    <t>Masters 55-59 (20.06.1957)/59</t>
  </si>
  <si>
    <t>78,80</t>
  </si>
  <si>
    <t>Voskresensk/Moskovskaya oblast</t>
  </si>
  <si>
    <t>Baasandorj Munkhbaatar</t>
  </si>
  <si>
    <t>Open (28.10.1981)/35</t>
  </si>
  <si>
    <t>Chipliev Vadim</t>
  </si>
  <si>
    <t>Open (21.07.1991)/25</t>
  </si>
  <si>
    <t>Rakhsha Nader</t>
  </si>
  <si>
    <t>Teen 18-19 (31.07.1997)/19</t>
  </si>
  <si>
    <t>Ivlev Denis</t>
  </si>
  <si>
    <t>Open (13.04.1980)/36</t>
  </si>
  <si>
    <t>95,60</t>
  </si>
  <si>
    <t>Gubkin/Belgorodskaya oblast</t>
  </si>
  <si>
    <t>96,20</t>
  </si>
  <si>
    <t>94,30</t>
  </si>
  <si>
    <t>257,5</t>
  </si>
  <si>
    <t>Kartel Aleksey</t>
  </si>
  <si>
    <t>Open (29.08.1988)/28</t>
  </si>
  <si>
    <t>102,10</t>
  </si>
  <si>
    <t>305,0</t>
  </si>
  <si>
    <t>335,0</t>
  </si>
  <si>
    <t>320,0</t>
  </si>
  <si>
    <t>Esaulkov Evgeniy</t>
  </si>
  <si>
    <t>Open (06.08.1989)/27</t>
  </si>
  <si>
    <t>320,5</t>
  </si>
  <si>
    <t>Omrani Khameneh</t>
  </si>
  <si>
    <t>Open (08.12.1985)/31</t>
  </si>
  <si>
    <t>Maligin Yury</t>
  </si>
  <si>
    <t>Masters 45-49 (30.06.1967)/49</t>
  </si>
  <si>
    <t>103,60</t>
  </si>
  <si>
    <t>Druzhkovka/Donetskaya oblast</t>
  </si>
  <si>
    <t>Buyandalai Khadbaatar</t>
  </si>
  <si>
    <t>Open (06.01.1990)/26</t>
  </si>
  <si>
    <t>119,90</t>
  </si>
  <si>
    <t>472,8937</t>
  </si>
  <si>
    <t>405,1840</t>
  </si>
  <si>
    <t>385,0</t>
  </si>
  <si>
    <t>404,2500</t>
  </si>
  <si>
    <t>363,4575</t>
  </si>
  <si>
    <t>392,0175</t>
  </si>
  <si>
    <t>389,6970</t>
  </si>
  <si>
    <t>379,3530</t>
  </si>
  <si>
    <t>400,7036</t>
  </si>
  <si>
    <t>324,8692</t>
  </si>
  <si>
    <t>390,7800</t>
  </si>
  <si>
    <t>875,0</t>
  </si>
  <si>
    <t>504,4375</t>
  </si>
  <si>
    <t>807,5</t>
  </si>
  <si>
    <t>478,9686</t>
  </si>
  <si>
    <t>454,5835</t>
  </si>
  <si>
    <t>692,5</t>
  </si>
  <si>
    <t>448,1514</t>
  </si>
  <si>
    <t>443,8812</t>
  </si>
  <si>
    <t>441,8765</t>
  </si>
  <si>
    <t>787,5</t>
  </si>
  <si>
    <t>433,9519</t>
  </si>
  <si>
    <t>570,0</t>
  </si>
  <si>
    <t>428,2125</t>
  </si>
  <si>
    <t>423,7635</t>
  </si>
  <si>
    <t>390,3240</t>
  </si>
  <si>
    <t>430,0</t>
  </si>
  <si>
    <t>358,1255</t>
  </si>
  <si>
    <t>589,8753</t>
  </si>
  <si>
    <t>447,8989</t>
  </si>
  <si>
    <t>373,6652</t>
  </si>
  <si>
    <t>236,1113</t>
  </si>
  <si>
    <t>Umerenkova Yuliya</t>
  </si>
  <si>
    <t>Open (09.12.1980)/36</t>
  </si>
  <si>
    <t>Lubaev Igor</t>
  </si>
  <si>
    <t>Open (30.04.1979)/37</t>
  </si>
  <si>
    <t>65,30</t>
  </si>
  <si>
    <t>251,0</t>
  </si>
  <si>
    <t>74,30</t>
  </si>
  <si>
    <t>Gansukh Ayurbold</t>
  </si>
  <si>
    <t>Open (27.08.1991)/25</t>
  </si>
  <si>
    <t>72,80</t>
  </si>
  <si>
    <t>Jigmedserchin Saruul-Erdene</t>
  </si>
  <si>
    <t>Juniors 20-23 (12.12.1992)/24</t>
  </si>
  <si>
    <t>85,30</t>
  </si>
  <si>
    <t>Scott Kuderick</t>
  </si>
  <si>
    <t>Open (28.02.1974)/42</t>
  </si>
  <si>
    <t>Kochevatkin Dmitriy</t>
  </si>
  <si>
    <t>Open (18.02.1976)/40</t>
  </si>
  <si>
    <t>86,40</t>
  </si>
  <si>
    <t>Battulga Bat-Erdene</t>
  </si>
  <si>
    <t>Open (13.02.1990)/26</t>
  </si>
  <si>
    <t>87,50</t>
  </si>
  <si>
    <t>Masters 40-44 (18.02.1976)/40</t>
  </si>
  <si>
    <t>Izvekov Andrey</t>
  </si>
  <si>
    <t>Open (15.10.1981)/35</t>
  </si>
  <si>
    <t>707,5</t>
  </si>
  <si>
    <t>446,6094</t>
  </si>
  <si>
    <t>544,2798</t>
  </si>
  <si>
    <t>469,7915</t>
  </si>
  <si>
    <t>462,9786</t>
  </si>
  <si>
    <t>444,9687</t>
  </si>
  <si>
    <t>441,9852</t>
  </si>
  <si>
    <t>432,1815</t>
  </si>
  <si>
    <t>760,0</t>
  </si>
  <si>
    <t>419,8240</t>
  </si>
  <si>
    <t>366,8325</t>
  </si>
  <si>
    <t>Skodskikh Elena</t>
  </si>
  <si>
    <t>Open (12.03.1992)/24</t>
  </si>
  <si>
    <t>44,00</t>
  </si>
  <si>
    <t>Polyakova Dariya</t>
  </si>
  <si>
    <t>Open (25.06.1988)/28</t>
  </si>
  <si>
    <t>43,40</t>
  </si>
  <si>
    <t>Volgodonsk/Rostovskaya oblast</t>
  </si>
  <si>
    <t>Aprelova Nadezhda</t>
  </si>
  <si>
    <t>Open (24.07.1963)/53</t>
  </si>
  <si>
    <t>Chkalovsk/Nizhegorodskaya oblast</t>
  </si>
  <si>
    <t>Klementieva Natalya</t>
  </si>
  <si>
    <t>Open (17.10.1980)/36</t>
  </si>
  <si>
    <t>47,60</t>
  </si>
  <si>
    <t>Shchegolkov Vladimir</t>
  </si>
  <si>
    <t>Chernyavskaya Yana</t>
  </si>
  <si>
    <t>Open (10.12.1982)/34</t>
  </si>
  <si>
    <t>Novyy Urengoy/Yamalo-Nenetskiy avt. okr.</t>
  </si>
  <si>
    <t>Masters 50-54 (24.07.1963)/53</t>
  </si>
  <si>
    <t>Fedoseeva Dariya</t>
  </si>
  <si>
    <t>Teen 16-17 (09.08.2000)/16</t>
  </si>
  <si>
    <t>Felofyanov V.V.</t>
  </si>
  <si>
    <t>Ulugova Kabirabonu</t>
  </si>
  <si>
    <t>Teen 18-19 (17.04.1998)/18</t>
  </si>
  <si>
    <t>49,90</t>
  </si>
  <si>
    <t>Baranova Kseniya</t>
  </si>
  <si>
    <t>Juniors 20-23 (30.12.1993)/23</t>
  </si>
  <si>
    <t>Polyakov Ruslan Yuryevich</t>
  </si>
  <si>
    <t>Open (17.04.1998)/18</t>
  </si>
  <si>
    <t>Kucherova Irina</t>
  </si>
  <si>
    <t>Open (18.09.1988)/28</t>
  </si>
  <si>
    <t>Khisamova Olga</t>
  </si>
  <si>
    <t>Masters 40-44 (08.03.1972)/44</t>
  </si>
  <si>
    <t>51,40</t>
  </si>
  <si>
    <t>Blinkova Natalya</t>
  </si>
  <si>
    <t>Open (20.03.1991)/25</t>
  </si>
  <si>
    <t>53,60</t>
  </si>
  <si>
    <t>82,5</t>
  </si>
  <si>
    <t>Bitz Elena</t>
  </si>
  <si>
    <t>Open (02.07.1979)/37</t>
  </si>
  <si>
    <t>55,20</t>
  </si>
  <si>
    <t>Grayvoron/Belgorodskaya oblast</t>
  </si>
  <si>
    <t>Levova Elena</t>
  </si>
  <si>
    <t>Open (16.08.1977)/39</t>
  </si>
  <si>
    <t>53,80</t>
  </si>
  <si>
    <t>Gosteva Valentina</t>
  </si>
  <si>
    <t>Masters 60-64 (07.08.1955)/61</t>
  </si>
  <si>
    <t>55,10</t>
  </si>
  <si>
    <t>Bambatgireeva Renata</t>
  </si>
  <si>
    <t>Teen 13-15 (04.07.2001)/15</t>
  </si>
  <si>
    <t>59,60</t>
  </si>
  <si>
    <t>Markushina Nataliya</t>
  </si>
  <si>
    <t>Teen 16-17 (06.08.1999)/17</t>
  </si>
  <si>
    <t>58,20</t>
  </si>
  <si>
    <t>Bichkova Aleksandra</t>
  </si>
  <si>
    <t>Teen 18-19 (18.08.1996)/20</t>
  </si>
  <si>
    <t>58,70</t>
  </si>
  <si>
    <t>Namesova Oksana</t>
  </si>
  <si>
    <t>Open (17.05.1979)/37</t>
  </si>
  <si>
    <t>Pavlovo/Nizhegorodskaya oblast</t>
  </si>
  <si>
    <t>Sharueva Raisa</t>
  </si>
  <si>
    <t>Open (01.07.1983)/33</t>
  </si>
  <si>
    <t>Potapova Nataliya</t>
  </si>
  <si>
    <t>Masters 40-44 (03.01.1972)/44</t>
  </si>
  <si>
    <t>57,70</t>
  </si>
  <si>
    <t>Norilsk/Krasnoyarskiy kray</t>
  </si>
  <si>
    <t>Brakhnova Anastasiya</t>
  </si>
  <si>
    <t>Teen 13-15 (04.02.2001)/15</t>
  </si>
  <si>
    <t>60,40</t>
  </si>
  <si>
    <t>Sudzha/Kurskaya oblast</t>
  </si>
  <si>
    <t>Dubrovskaya A.V.</t>
  </si>
  <si>
    <t>Melnikova Angelina</t>
  </si>
  <si>
    <t>Teen 16-17 (09.10.1998)/18</t>
  </si>
  <si>
    <t>65,10</t>
  </si>
  <si>
    <t>Rodyakin D.O.</t>
  </si>
  <si>
    <t>Kuznetsova Yuliya</t>
  </si>
  <si>
    <t>Open (15.05.1973)/43</t>
  </si>
  <si>
    <t>64,40</t>
  </si>
  <si>
    <t>Ponomarev V.A.</t>
  </si>
  <si>
    <t>Grigorieva Svetlana</t>
  </si>
  <si>
    <t>Open (15.07.1982)/34</t>
  </si>
  <si>
    <t>64,10</t>
  </si>
  <si>
    <t>Lukyanova Marina</t>
  </si>
  <si>
    <t>Masters 40-44 (09.02.1972)/44</t>
  </si>
  <si>
    <t>samost.</t>
  </si>
  <si>
    <t>Romasenko Irina</t>
  </si>
  <si>
    <t>Masters 40-44 (22.12.1975)/41</t>
  </si>
  <si>
    <t>Prokopova Elena</t>
  </si>
  <si>
    <t>Masters 50-54 (07.03.1966)/50</t>
  </si>
  <si>
    <t>63,20</t>
  </si>
  <si>
    <t>70,00</t>
  </si>
  <si>
    <t>Makarova Elena</t>
  </si>
  <si>
    <t>Masters 50-54 (08.08.1962)/54</t>
  </si>
  <si>
    <t>Kuznetsov Sergey</t>
  </si>
  <si>
    <t>Teen 13-15 (15.12.2001)/15</t>
  </si>
  <si>
    <t>48,50</t>
  </si>
  <si>
    <t>Kulikov Kirill</t>
  </si>
  <si>
    <t>Teen 13-15 (17.08.2002)/14</t>
  </si>
  <si>
    <t>Tver/Tverskaya oblast</t>
  </si>
  <si>
    <t>37,5</t>
  </si>
  <si>
    <t>Popov V.E.</t>
  </si>
  <si>
    <t>Korobeynikov Nikita</t>
  </si>
  <si>
    <t>Teen 13-15 (09.08.2006)/10</t>
  </si>
  <si>
    <t>40,00</t>
  </si>
  <si>
    <t>32,5</t>
  </si>
  <si>
    <t>35,0</t>
  </si>
  <si>
    <t>Kondratiev Dmitriy</t>
  </si>
  <si>
    <t>Teen 13-15 (26.08.2002)/14</t>
  </si>
  <si>
    <t>56,00</t>
  </si>
  <si>
    <t>Zubrikov Vadim</t>
  </si>
  <si>
    <t>Teen 13-15 (05.12.2000)/16</t>
  </si>
  <si>
    <t>54,20</t>
  </si>
  <si>
    <t>Yuriev Andrey</t>
  </si>
  <si>
    <t>Teen 13-15 (21.09.2001)/15</t>
  </si>
  <si>
    <t>Grigoriev Roman</t>
  </si>
  <si>
    <t>Teen 13-15 (23.12.2001)/15</t>
  </si>
  <si>
    <t>53,90</t>
  </si>
  <si>
    <t>Popov Igor</t>
  </si>
  <si>
    <t>Juniors 20-23 (07.04.1993)/23</t>
  </si>
  <si>
    <t>Open (07.04.1993)/23</t>
  </si>
  <si>
    <t>Samylin Sergey</t>
  </si>
  <si>
    <t>Open (23.07.1989)/27</t>
  </si>
  <si>
    <t>Maksimov Andrey</t>
  </si>
  <si>
    <t>Open (24.10.1991)/25</t>
  </si>
  <si>
    <t>Yurshin Dmitriy</t>
  </si>
  <si>
    <t>Teen 13-15 (27.08.2001)/15</t>
  </si>
  <si>
    <t>Tolkachev Fedor</t>
  </si>
  <si>
    <t>Nekrasov Artem</t>
  </si>
  <si>
    <t>Teen 16-17 (21.12.1999)/17</t>
  </si>
  <si>
    <t>57,30</t>
  </si>
  <si>
    <t>Korotkin Ilya</t>
  </si>
  <si>
    <t>Teen 18-19 (28.03.1997)/19</t>
  </si>
  <si>
    <t>Gorin A.P.</t>
  </si>
  <si>
    <t>Yusupov Rishat</t>
  </si>
  <si>
    <t>Open (01.12.1989)/27</t>
  </si>
  <si>
    <t>Zatonskih Nikita</t>
  </si>
  <si>
    <t>Teen 13-15 (24.01.2002)/14</t>
  </si>
  <si>
    <t>63,00</t>
  </si>
  <si>
    <t>Rapoports Mihail</t>
  </si>
  <si>
    <t>Teen 16-17 (07.04.1999)/17</t>
  </si>
  <si>
    <t>Latvia</t>
  </si>
  <si>
    <t>Riga/Latviya</t>
  </si>
  <si>
    <t>Sushkov Dmitriy</t>
  </si>
  <si>
    <t>Teen 16-17 (18.09.1998)/18</t>
  </si>
  <si>
    <t>64,30</t>
  </si>
  <si>
    <t>Kryukov Sergey</t>
  </si>
  <si>
    <t>Skalozubov Roman</t>
  </si>
  <si>
    <t>Teen 18-19 (02.07.1997)/19</t>
  </si>
  <si>
    <t>67,00</t>
  </si>
  <si>
    <t>Svetlyy Yar/Volgogradskaya oblast</t>
  </si>
  <si>
    <t>Dvizov Yuriy</t>
  </si>
  <si>
    <t>Bogatiy Ivan</t>
  </si>
  <si>
    <t>Teen 18-19 (10.12.1996)/20</t>
  </si>
  <si>
    <t>Valuyki/Belgorodskaya oblast</t>
  </si>
  <si>
    <t>Gridnev Maksim</t>
  </si>
  <si>
    <t>Juniors 20-23 (31.10.1992)/24</t>
  </si>
  <si>
    <t>Michurinsk/Tambovskaya oblast</t>
  </si>
  <si>
    <t>Vladimirov Dmitriy</t>
  </si>
  <si>
    <t>Open (12.08.1986)/30</t>
  </si>
  <si>
    <t>Perevalov Sergey</t>
  </si>
  <si>
    <t>Open (12.03.1981)/35</t>
  </si>
  <si>
    <t>Zakharov Evgeniy</t>
  </si>
  <si>
    <t>Open (20.08.1990)/26</t>
  </si>
  <si>
    <t>66,80</t>
  </si>
  <si>
    <t>Laishin Boris</t>
  </si>
  <si>
    <t>Masters 65-69 (06.08.1950)/66</t>
  </si>
  <si>
    <t>Israel</t>
  </si>
  <si>
    <t>108,0</t>
  </si>
  <si>
    <t>Mesheraykov Ivan</t>
  </si>
  <si>
    <t>Teen 13-15 (02.09.2002)/14</t>
  </si>
  <si>
    <t>Kolupanov Artem</t>
  </si>
  <si>
    <t>Teen 16-17 (14.07.1999)/17</t>
  </si>
  <si>
    <t>72,30</t>
  </si>
  <si>
    <t>Oveshnikov Yaroslav</t>
  </si>
  <si>
    <t>Juniors 20-23 (04.02.1993)/23</t>
  </si>
  <si>
    <t>Orel/Orlovskaya oblast</t>
  </si>
  <si>
    <t>Devyatkin Vladimir</t>
  </si>
  <si>
    <t>Juniors 20-23 (17.11.1992)/24</t>
  </si>
  <si>
    <t>Azov/Rostovskaya oblast</t>
  </si>
  <si>
    <t>Abdyushev Artur</t>
  </si>
  <si>
    <t>Juniors 20-23 (28.02.1993)/23</t>
  </si>
  <si>
    <t>Khadziev Vakha</t>
  </si>
  <si>
    <t>Open (26.09.1994)/22</t>
  </si>
  <si>
    <t>Karabulak/Ingushetiya</t>
  </si>
  <si>
    <t>Pozdnyakov Aleksandr</t>
  </si>
  <si>
    <t>Open (04.07.1979)/37</t>
  </si>
  <si>
    <t>74,70</t>
  </si>
  <si>
    <t>Rossosh/Voronezhskaya oblast</t>
  </si>
  <si>
    <t>Babin Ilya</t>
  </si>
  <si>
    <t>Open (18.04.1980)/36</t>
  </si>
  <si>
    <t>Berezniki/Permskiy kray</t>
  </si>
  <si>
    <t>Goncharenko Mihail</t>
  </si>
  <si>
    <t>Open (11.08.1977)/39</t>
  </si>
  <si>
    <t>73,50</t>
  </si>
  <si>
    <t>Goncharenko Aleksey</t>
  </si>
  <si>
    <t>Open (24.03.1981)/35</t>
  </si>
  <si>
    <t>72,20</t>
  </si>
  <si>
    <t>Vasiliev Roman</t>
  </si>
  <si>
    <t>Masters 40-44 (10.02.1973)/43</t>
  </si>
  <si>
    <t>74,50</t>
  </si>
  <si>
    <t>Petrozavodsk/Kareliya</t>
  </si>
  <si>
    <t>Rudichev Sergey</t>
  </si>
  <si>
    <t>Masters 40-44 (08.06.1974)/42</t>
  </si>
  <si>
    <t>Kovalev Igor</t>
  </si>
  <si>
    <t>Masters 55-59 (08.04.1957)/59</t>
  </si>
  <si>
    <t>Masters 65-69 (05.02.1947)/69</t>
  </si>
  <si>
    <t>Chepets Yuriy</t>
  </si>
  <si>
    <t>Masters 70-74 (19.04.1943)/73</t>
  </si>
  <si>
    <t>Fursa Artem</t>
  </si>
  <si>
    <t>Teen 18-19 (26.03.1998)/18</t>
  </si>
  <si>
    <t>Gerasimov Aleksandr</t>
  </si>
  <si>
    <t>Teen 18-19 (12.09.1996)/20</t>
  </si>
  <si>
    <t>80,20</t>
  </si>
  <si>
    <t>Torzhok/Tverskaya oblast</t>
  </si>
  <si>
    <t>Shehovtsov Dmitriy</t>
  </si>
  <si>
    <t>Teen 18-19 (19.03.1997)/19</t>
  </si>
  <si>
    <t>79,60</t>
  </si>
  <si>
    <t>Vlasyan Aleksey</t>
  </si>
  <si>
    <t>Juniors 20-23 (18.02.1994)/22</t>
  </si>
  <si>
    <t>Mereshkov Akhmed</t>
  </si>
  <si>
    <t>Open (09.04.1989)/27</t>
  </si>
  <si>
    <t>Chernyavskiy Timofey</t>
  </si>
  <si>
    <t>Open (08.09.1985)/31</t>
  </si>
  <si>
    <t>Kraev Aleksandr</t>
  </si>
  <si>
    <t>Open (06.12.1982)/34</t>
  </si>
  <si>
    <t>76,70</t>
  </si>
  <si>
    <t>Kola/Murmanskaya oblast</t>
  </si>
  <si>
    <t>Azizmamadov Konstantin</t>
  </si>
  <si>
    <t>Open (17.03.1985)/31</t>
  </si>
  <si>
    <t>Lutikov Dmitriy</t>
  </si>
  <si>
    <t>Open (09.11.1987)/29</t>
  </si>
  <si>
    <t>Bkhadur Robin</t>
  </si>
  <si>
    <t>Open (27.01.1992)/24</t>
  </si>
  <si>
    <t>76,90</t>
  </si>
  <si>
    <t>Vorontsov Aleksey</t>
  </si>
  <si>
    <t>Open (21.11.1977)/39</t>
  </si>
  <si>
    <t>Lyubertsy/Moskovskaya oblast</t>
  </si>
  <si>
    <t>Penkov Evgeniy</t>
  </si>
  <si>
    <t>Open (15.08.1988)/28</t>
  </si>
  <si>
    <t>Tishkovskiy Vladimir</t>
  </si>
  <si>
    <t>Open (26.10.1986)/30</t>
  </si>
  <si>
    <t>Potapov Eduard</t>
  </si>
  <si>
    <t>Alan Ford</t>
  </si>
  <si>
    <t>Masters 50-54 (29.09.1965)/51</t>
  </si>
  <si>
    <t>77,80</t>
  </si>
  <si>
    <t>Shagdarsuren Bat-Erdene</t>
  </si>
  <si>
    <t>Masters 55-59 (10.02.1959)/57</t>
  </si>
  <si>
    <t>77,50</t>
  </si>
  <si>
    <t>Mosin Vasiliy</t>
  </si>
  <si>
    <t>Masters 60-64 (09.06.1956)/60</t>
  </si>
  <si>
    <t>80,30</t>
  </si>
  <si>
    <t>Shashkov Aleksey</t>
  </si>
  <si>
    <t>Teen 18-19 (03.01.1997)/19</t>
  </si>
  <si>
    <t>Nekhaev Roman</t>
  </si>
  <si>
    <t>Teen 18-19 (11.12.1996)/20</t>
  </si>
  <si>
    <t>86,10</t>
  </si>
  <si>
    <t>Kovalev Roman</t>
  </si>
  <si>
    <t>Juniors 20-23 (12.04.1993)/23</t>
  </si>
  <si>
    <t>86,50</t>
  </si>
  <si>
    <t>Filimonov Oleg</t>
  </si>
  <si>
    <t>Open (12.03.1987)/29</t>
  </si>
  <si>
    <t>Svidin Andrey</t>
  </si>
  <si>
    <t>Open (01.02.1980)/36</t>
  </si>
  <si>
    <t>Krasnodar/Krasnodarskiy kray</t>
  </si>
  <si>
    <t>Khomyakov Kirill</t>
  </si>
  <si>
    <t>Open (28.05.1984)/32</t>
  </si>
  <si>
    <t>Pismak Aleksandr</t>
  </si>
  <si>
    <t>Open (06.09.1980)/36</t>
  </si>
  <si>
    <t>Murmansk/Murmanskaya oblast</t>
  </si>
  <si>
    <t>Zolotarev Vladimir</t>
  </si>
  <si>
    <t>Open (11.10.1990)/26</t>
  </si>
  <si>
    <t>88,50</t>
  </si>
  <si>
    <t>Denisov Evgeniy</t>
  </si>
  <si>
    <t>Open (29.04.1992)/24</t>
  </si>
  <si>
    <t>Batalkin Aleksandr</t>
  </si>
  <si>
    <t>Open (31.03.1983)/33</t>
  </si>
  <si>
    <t>85,90</t>
  </si>
  <si>
    <t>Petrenko Aleksandr</t>
  </si>
  <si>
    <t>Open (06.07.1986)/30</t>
  </si>
  <si>
    <t>Rogozin Denis</t>
  </si>
  <si>
    <t>Open (10.06.1992)/24</t>
  </si>
  <si>
    <t>Fyodorov Yuriy</t>
  </si>
  <si>
    <t>Masters 40-44 (23.05.1975)/41</t>
  </si>
  <si>
    <t>86,60</t>
  </si>
  <si>
    <t>Mytarev I.V.</t>
  </si>
  <si>
    <t>Rakhmeev Mihail</t>
  </si>
  <si>
    <t>Masters 40-44 (29.02.1976)/40</t>
  </si>
  <si>
    <t>Salavat/Bashkortostan</t>
  </si>
  <si>
    <t>Chepurnoy Mikhail</t>
  </si>
  <si>
    <t>Masters 45-49 (26.02.1970)/46</t>
  </si>
  <si>
    <t>89,00</t>
  </si>
  <si>
    <t>Bazanov Sergey</t>
  </si>
  <si>
    <t>Masters 50-54 (22.06.1962)/54</t>
  </si>
  <si>
    <t>87,80</t>
  </si>
  <si>
    <t>Ronkin Mihail</t>
  </si>
  <si>
    <t>Masters 50-54 (13.11.1961)/55</t>
  </si>
  <si>
    <t>88,60</t>
  </si>
  <si>
    <t>Petrov Aleksandr</t>
  </si>
  <si>
    <t>Masters 55-59 (17.07.1960)/56</t>
  </si>
  <si>
    <t>89,60</t>
  </si>
  <si>
    <t>Kundus Sergey</t>
  </si>
  <si>
    <t>Masters 60-64 (26.10.1953)/63</t>
  </si>
  <si>
    <t>Rozhenko Vladislav</t>
  </si>
  <si>
    <t>Teen 16-17 (02.01.1999)/17</t>
  </si>
  <si>
    <t>95,30</t>
  </si>
  <si>
    <t>Kapitonov Nikolay</t>
  </si>
  <si>
    <t>Teen 18-19 (28.08.1996)/20</t>
  </si>
  <si>
    <t>91,20</t>
  </si>
  <si>
    <t>Tauras Fitnes</t>
  </si>
  <si>
    <t>Gorodshiy Dmitriy</t>
  </si>
  <si>
    <t>Juniors 20-23 (09.06.1993)/23</t>
  </si>
  <si>
    <t>Danilochkin Alexey</t>
  </si>
  <si>
    <t>Juniors 20-23 (07.11.1995)/21</t>
  </si>
  <si>
    <t>Silkin Nikolay</t>
  </si>
  <si>
    <t>Juniors 20-23 (10.12.1992)/24</t>
  </si>
  <si>
    <t>Avdeev Artem</t>
  </si>
  <si>
    <t>Juniors 20-23 (24.09.1992)/24</t>
  </si>
  <si>
    <t>94,60</t>
  </si>
  <si>
    <t>Shchigry/Kurskaya oblast</t>
  </si>
  <si>
    <t>Borisov Aleksey</t>
  </si>
  <si>
    <t>Baranov Ivan</t>
  </si>
  <si>
    <t>Open (29.05.1990)/26</t>
  </si>
  <si>
    <t>Borovsk/Kaluzhskaya oblast</t>
  </si>
  <si>
    <t>Algatov Bagaudin</t>
  </si>
  <si>
    <t>Open (05.10.1990)/26</t>
  </si>
  <si>
    <t>98,10</t>
  </si>
  <si>
    <t>Parmut Vitaliy</t>
  </si>
  <si>
    <t>Open (18.04.1987)/29</t>
  </si>
  <si>
    <t>Kabanov Igor</t>
  </si>
  <si>
    <t>Open (02.06.1991)/25</t>
  </si>
  <si>
    <t>97,70</t>
  </si>
  <si>
    <t>Repin Maksim</t>
  </si>
  <si>
    <t>Open (18.06.1986)/30</t>
  </si>
  <si>
    <t>98,70</t>
  </si>
  <si>
    <t>Petrenko Vladimir</t>
  </si>
  <si>
    <t>Masters 40-44 (05.03.1976)/40</t>
  </si>
  <si>
    <t>Svetlov Gena</t>
  </si>
  <si>
    <t>Masters 40-44 (24.04.1976)/40</t>
  </si>
  <si>
    <t>Kazantsev Ivan</t>
  </si>
  <si>
    <t>Masters 45-49 (29.09.1967)/49</t>
  </si>
  <si>
    <t>96,10</t>
  </si>
  <si>
    <t>Kamyshlov/Sverdlovskaya oblast</t>
  </si>
  <si>
    <t>Zaytsev Vladimir</t>
  </si>
  <si>
    <t>Masters 45-49 (23.04.1971)/45</t>
  </si>
  <si>
    <t>93,50</t>
  </si>
  <si>
    <t>Prokopov Mihail</t>
  </si>
  <si>
    <t>Masters 60-64 (10.06.1956)/60</t>
  </si>
  <si>
    <t>Lemeschenko Evgeniy</t>
  </si>
  <si>
    <t>Juniors 20-23 (23.07.1995)/21</t>
  </si>
  <si>
    <t>109,90</t>
  </si>
  <si>
    <t>Kostennikov O.F.</t>
  </si>
  <si>
    <t>Lomaka Oleg</t>
  </si>
  <si>
    <t>Juniors 20-23 (25.05.1993)/23</t>
  </si>
  <si>
    <t>Mordvinov Sergey</t>
  </si>
  <si>
    <t>Open (26.08.1982)/34</t>
  </si>
  <si>
    <t>108,00</t>
  </si>
  <si>
    <t>Surovetskiy A.E.</t>
  </si>
  <si>
    <t>Yezyk Konstantin</t>
  </si>
  <si>
    <t>Open (13.11.1991)/25</t>
  </si>
  <si>
    <t>105,80</t>
  </si>
  <si>
    <t>Polyanin Vadim</t>
  </si>
  <si>
    <t>Open (15.12.1983)/33</t>
  </si>
  <si>
    <t>Stolbovoy Vitaliy</t>
  </si>
  <si>
    <t>Open (14.06.1973)/43</t>
  </si>
  <si>
    <t>Nogliki/Sakhalinskaya oblast</t>
  </si>
  <si>
    <t>Uvarov Evgeniy</t>
  </si>
  <si>
    <t>Open (03.02.1977)/39</t>
  </si>
  <si>
    <t>106,40</t>
  </si>
  <si>
    <t>Leschenko Ivan</t>
  </si>
  <si>
    <t>Open (10.07.1986)/30</t>
  </si>
  <si>
    <t>104,40</t>
  </si>
  <si>
    <t>Krasnozavodsk/Moskovskaya oblast</t>
  </si>
  <si>
    <t>Pakhuchiy Aleksandr</t>
  </si>
  <si>
    <t>Open (24.04.1978)/38</t>
  </si>
  <si>
    <t>109,10</t>
  </si>
  <si>
    <t>Novocherkassk/Rostovskaya oblast</t>
  </si>
  <si>
    <t>Masters 40-44 (14.06.1973)/43</t>
  </si>
  <si>
    <t>Kalinin Mihail</t>
  </si>
  <si>
    <t>Masters 40-44 (22.07.1975)/41</t>
  </si>
  <si>
    <t>Ivanov Maksim</t>
  </si>
  <si>
    <t>Masters 40-44 (13.04.1976)/40</t>
  </si>
  <si>
    <t>105,40</t>
  </si>
  <si>
    <t>Kireev Dmitriy</t>
  </si>
  <si>
    <t>Masters 45-49 (28.08.1969)/47</t>
  </si>
  <si>
    <t>Kurotchenko Igor</t>
  </si>
  <si>
    <t>Masters 50-54 (20.03.1962)/54</t>
  </si>
  <si>
    <t>108,10</t>
  </si>
  <si>
    <t>Mikheev Vadim</t>
  </si>
  <si>
    <t>Masters 50-54 (21.04.1966)/50</t>
  </si>
  <si>
    <t>Nemchinov</t>
  </si>
  <si>
    <t>Pauesov Anatoliy</t>
  </si>
  <si>
    <t>Masters 60-64 (14.06.1953)/63</t>
  </si>
  <si>
    <t>Sergiyev Posad/Moskovskaya oblast</t>
  </si>
  <si>
    <t>Grabovoy Boris</t>
  </si>
  <si>
    <t>Masters 60-64 (23.01.1956)/60</t>
  </si>
  <si>
    <t>101,70</t>
  </si>
  <si>
    <t>Suhodoev Maksim</t>
  </si>
  <si>
    <t>Teen 16-17 (31.03.1999)/17</t>
  </si>
  <si>
    <t>121,90</t>
  </si>
  <si>
    <t>Laschilin Vyacheslav</t>
  </si>
  <si>
    <t>Teen 18-19 (04.01.1997)/19</t>
  </si>
  <si>
    <t>123,60</t>
  </si>
  <si>
    <t>Gulyan Artur</t>
  </si>
  <si>
    <t>Open (23.01.1982)/34</t>
  </si>
  <si>
    <t>119,60</t>
  </si>
  <si>
    <t>Chernishov Konstantin</t>
  </si>
  <si>
    <t>Open (11.11.1992)/24</t>
  </si>
  <si>
    <t>Murashka Ruslan</t>
  </si>
  <si>
    <t>Masters 40-44 (22.08.1974)/42</t>
  </si>
  <si>
    <t>123,20</t>
  </si>
  <si>
    <t>Striga Aleksandr</t>
  </si>
  <si>
    <t>Masters 45-49 (15.10.1967)/49</t>
  </si>
  <si>
    <t>120,70</t>
  </si>
  <si>
    <t>Sapozhnikov Eduard</t>
  </si>
  <si>
    <t>Masters 45-49 (22.11.1967)/49</t>
  </si>
  <si>
    <t>110,10</t>
  </si>
  <si>
    <t>Chaykovskiy/Permskiy kray</t>
  </si>
  <si>
    <t>Bambatgireev Surupasha</t>
  </si>
  <si>
    <t>Masters 50-54 (18.07.1966)/50</t>
  </si>
  <si>
    <t>112,30</t>
  </si>
  <si>
    <t>Sivachenko Pavel</t>
  </si>
  <si>
    <t>Masters 50-54 (16.04.1966)/50</t>
  </si>
  <si>
    <t>121,10</t>
  </si>
  <si>
    <t>Nikolaev Mihail</t>
  </si>
  <si>
    <t>Masters 55-59 (27.05.1961)/55</t>
  </si>
  <si>
    <t>124,90</t>
  </si>
  <si>
    <t>Popov Vladimir</t>
  </si>
  <si>
    <t>Masters 60-64 (26.02.1956)/60</t>
  </si>
  <si>
    <t>Zavgorodniy Andrey</t>
  </si>
  <si>
    <t>Open (04.04.1981)/35</t>
  </si>
  <si>
    <t>135,70</t>
  </si>
  <si>
    <t>132,00</t>
  </si>
  <si>
    <t>Vinogradov Aleksey</t>
  </si>
  <si>
    <t>Open (22.12.1983)/33</t>
  </si>
  <si>
    <t>125,40</t>
  </si>
  <si>
    <t>Gorbunov Roman</t>
  </si>
  <si>
    <t>Open (20.08.1979)/37</t>
  </si>
  <si>
    <t>131,70</t>
  </si>
  <si>
    <t>Aladishev Sergey</t>
  </si>
  <si>
    <t>Masters 45-49 (08.05.1971)/45</t>
  </si>
  <si>
    <t>138,80</t>
  </si>
  <si>
    <t>Utenkov Nikolay</t>
  </si>
  <si>
    <t>Masters 45-49 (07.06.1967)/49</t>
  </si>
  <si>
    <t>Tolyatti/Samarskaya oblast</t>
  </si>
  <si>
    <t>Bogomaz Petr</t>
  </si>
  <si>
    <t>Masters 55-59 (24.05.1957)/59</t>
  </si>
  <si>
    <t>125,50</t>
  </si>
  <si>
    <t>Matveyev Kurgan/Rostovskaya oblast</t>
  </si>
  <si>
    <t>Gunyashev A.N.</t>
  </si>
  <si>
    <t>Body Weight Category  140+</t>
  </si>
  <si>
    <t>Sheremetiev Maksim</t>
  </si>
  <si>
    <t>Juniors 20-23 (19.11.1994)/22</t>
  </si>
  <si>
    <t>154,10</t>
  </si>
  <si>
    <t>Trofimov Boris</t>
  </si>
  <si>
    <t>Open (21.03.1972)/44</t>
  </si>
  <si>
    <t>147,40</t>
  </si>
  <si>
    <t>Gukovo/Rostovskaya oblast</t>
  </si>
  <si>
    <t>Solyanin Denis</t>
  </si>
  <si>
    <t>Open (26.06.1977)/39</t>
  </si>
  <si>
    <t>181,80</t>
  </si>
  <si>
    <t>Zverev Denis</t>
  </si>
  <si>
    <t>Open (26.09.1987)/29</t>
  </si>
  <si>
    <t>158,00</t>
  </si>
  <si>
    <t>Masters 40-44 (21.03.1972)/44</t>
  </si>
  <si>
    <t>Nasteka Igor</t>
  </si>
  <si>
    <t>Masters 50-54 (09.08.1964)/52</t>
  </si>
  <si>
    <t>152,40</t>
  </si>
  <si>
    <t>Engels/Saratovskaya oblast</t>
  </si>
  <si>
    <t>Lazarev Sergey</t>
  </si>
  <si>
    <t>Masters 55-59 (04.04.1960)/56</t>
  </si>
  <si>
    <t>150,80</t>
  </si>
  <si>
    <t>71,5062</t>
  </si>
  <si>
    <t>66,4560</t>
  </si>
  <si>
    <t>64,5418</t>
  </si>
  <si>
    <t>60,1575</t>
  </si>
  <si>
    <t>57,7933</t>
  </si>
  <si>
    <t>56,4880</t>
  </si>
  <si>
    <t>53,1300</t>
  </si>
  <si>
    <t>69,7562</t>
  </si>
  <si>
    <t>95,6786</t>
  </si>
  <si>
    <t>81,0900</t>
  </si>
  <si>
    <t>78,6250</t>
  </si>
  <si>
    <t>76,6350</t>
  </si>
  <si>
    <t>71,7967</t>
  </si>
  <si>
    <t>71,6953</t>
  </si>
  <si>
    <t>71,1900</t>
  </si>
  <si>
    <t>68,6465</t>
  </si>
  <si>
    <t>65,7338</t>
  </si>
  <si>
    <t>63,5200</t>
  </si>
  <si>
    <t>61,8975</t>
  </si>
  <si>
    <t>61,1930</t>
  </si>
  <si>
    <t>48,5100</t>
  </si>
  <si>
    <t>95,7486</t>
  </si>
  <si>
    <t>90,7358</t>
  </si>
  <si>
    <t>90,2841</t>
  </si>
  <si>
    <t>70,0087</t>
  </si>
  <si>
    <t>66,4326</t>
  </si>
  <si>
    <t>64,1226</t>
  </si>
  <si>
    <t>53,9213</t>
  </si>
  <si>
    <t>48,1778</t>
  </si>
  <si>
    <t>105,4410</t>
  </si>
  <si>
    <t>103,9490</t>
  </si>
  <si>
    <t>103,0130</t>
  </si>
  <si>
    <t>100,1468</t>
  </si>
  <si>
    <t>97,9095</t>
  </si>
  <si>
    <t>97,3574</t>
  </si>
  <si>
    <t>95,5184</t>
  </si>
  <si>
    <t>94,5125</t>
  </si>
  <si>
    <t>90,2572</t>
  </si>
  <si>
    <t>86,4596</t>
  </si>
  <si>
    <t>85,5055</t>
  </si>
  <si>
    <t>85,0500</t>
  </si>
  <si>
    <t>84,9500</t>
  </si>
  <si>
    <t>78,4625</t>
  </si>
  <si>
    <t>72,5400</t>
  </si>
  <si>
    <t>71,2800</t>
  </si>
  <si>
    <t>64,8112</t>
  </si>
  <si>
    <t>64,4160</t>
  </si>
  <si>
    <t>62,4785</t>
  </si>
  <si>
    <t>61,6396</t>
  </si>
  <si>
    <t>57,7406</t>
  </si>
  <si>
    <t>56,4156</t>
  </si>
  <si>
    <t>54,9097</t>
  </si>
  <si>
    <t>46,4675</t>
  </si>
  <si>
    <t>113,7075</t>
  </si>
  <si>
    <t>111,2797</t>
  </si>
  <si>
    <t>140+</t>
  </si>
  <si>
    <t>109,2158</t>
  </si>
  <si>
    <t>104,0903</t>
  </si>
  <si>
    <t>100,2743</t>
  </si>
  <si>
    <t>98,8225</t>
  </si>
  <si>
    <t>97,8203</t>
  </si>
  <si>
    <t>95,5094</t>
  </si>
  <si>
    <t>94,5608</t>
  </si>
  <si>
    <t>81,3820</t>
  </si>
  <si>
    <t>78,2437</t>
  </si>
  <si>
    <t>77,7810</t>
  </si>
  <si>
    <t>136,4715</t>
  </si>
  <si>
    <t>130,4219</t>
  </si>
  <si>
    <t>128,3724</t>
  </si>
  <si>
    <t>127,3817</t>
  </si>
  <si>
    <t>127,2375</t>
  </si>
  <si>
    <t>125,2240</t>
  </si>
  <si>
    <t>119,8312</t>
  </si>
  <si>
    <t>117,8100</t>
  </si>
  <si>
    <t>117,4020</t>
  </si>
  <si>
    <t>115,9819</t>
  </si>
  <si>
    <t>113,8586</t>
  </si>
  <si>
    <t>112,9126</t>
  </si>
  <si>
    <t>112,0446</t>
  </si>
  <si>
    <t>111,3685</t>
  </si>
  <si>
    <t>110,9610</t>
  </si>
  <si>
    <t>110,6766</t>
  </si>
  <si>
    <t>110,0550</t>
  </si>
  <si>
    <t>108,3760</t>
  </si>
  <si>
    <t>108,3360</t>
  </si>
  <si>
    <t>107,8788</t>
  </si>
  <si>
    <t>107,8088</t>
  </si>
  <si>
    <t>107,7236</t>
  </si>
  <si>
    <t>105,3667</t>
  </si>
  <si>
    <t>104,4695</t>
  </si>
  <si>
    <t>147,3299</t>
  </si>
  <si>
    <t>136,4698</t>
  </si>
  <si>
    <t>135,3181</t>
  </si>
  <si>
    <t>131,8861</t>
  </si>
  <si>
    <t>126,0986</t>
  </si>
  <si>
    <t>125,2520</t>
  </si>
  <si>
    <t>124,7425</t>
  </si>
  <si>
    <t>124,5174</t>
  </si>
  <si>
    <t>124,2135</t>
  </si>
  <si>
    <t>124,1137</t>
  </si>
  <si>
    <t>121,8169</t>
  </si>
  <si>
    <t>121,4008</t>
  </si>
  <si>
    <t>121,0633</t>
  </si>
  <si>
    <t>120,1032</t>
  </si>
  <si>
    <t>120,0777</t>
  </si>
  <si>
    <t>119,9590</t>
  </si>
  <si>
    <t>118,4541</t>
  </si>
  <si>
    <t>118,0421</t>
  </si>
  <si>
    <t>117,7679</t>
  </si>
  <si>
    <t>115,9276</t>
  </si>
  <si>
    <t>114,5052</t>
  </si>
  <si>
    <t>113,5820</t>
  </si>
  <si>
    <t>113,4290</t>
  </si>
  <si>
    <t>111,2879</t>
  </si>
  <si>
    <t>Sokhina Anastasiya</t>
  </si>
  <si>
    <t>Teen 13-15 (03.12.2000)/16</t>
  </si>
  <si>
    <t>45,90</t>
  </si>
  <si>
    <t>Primak Tatiyana</t>
  </si>
  <si>
    <t>Open (12.07.1983)/33</t>
  </si>
  <si>
    <t>51,60</t>
  </si>
  <si>
    <t>51,80</t>
  </si>
  <si>
    <t>Sub Masters 33-39 (12.07.1983)/33</t>
  </si>
  <si>
    <t>Martynenko Irina</t>
  </si>
  <si>
    <t>Teen 18-19 (18.06.1997)/19</t>
  </si>
  <si>
    <t>54,00</t>
  </si>
  <si>
    <t>101,0</t>
  </si>
  <si>
    <t>Khromchenko Polina</t>
  </si>
  <si>
    <t>Juniors 20-23 (19.10.1993)/23</t>
  </si>
  <si>
    <t>Open (18.06.1997)/19</t>
  </si>
  <si>
    <t>Kosheleva Irina</t>
  </si>
  <si>
    <t>Open (06.05.1991)/25</t>
  </si>
  <si>
    <t>62,30</t>
  </si>
  <si>
    <t>Aleksandr Bindas</t>
  </si>
  <si>
    <t>Karlov Aleksey</t>
  </si>
  <si>
    <t>Open (26.06.1992)/24</t>
  </si>
  <si>
    <t>65,50</t>
  </si>
  <si>
    <t>Ufa/Bashkortostan</t>
  </si>
  <si>
    <t>Bryazgunov Aleksey</t>
  </si>
  <si>
    <t>Masters 45-49 (04.09.1970)/46</t>
  </si>
  <si>
    <t>74,10</t>
  </si>
  <si>
    <t>Emelin Evgeniy</t>
  </si>
  <si>
    <t>Masters 50-54 (01.10.1964)/52</t>
  </si>
  <si>
    <t>73,40</t>
  </si>
  <si>
    <t>Gurov Sergey</t>
  </si>
  <si>
    <t>Masters 40-44 (25.06.1976)/40</t>
  </si>
  <si>
    <t>Khusainov Rustem</t>
  </si>
  <si>
    <t>Masters 40-44 (01.02.1974)/42</t>
  </si>
  <si>
    <t>Grigoriev Denis</t>
  </si>
  <si>
    <t>Open (07.08.1982)/34</t>
  </si>
  <si>
    <t>235,5</t>
  </si>
  <si>
    <t>Kostennikov Oleg</t>
  </si>
  <si>
    <t>Masters 50-54 (24.01.1966)/50</t>
  </si>
  <si>
    <t>Reshetov Nikolay</t>
  </si>
  <si>
    <t>Masters 55-59 (23.02.1959)/57</t>
  </si>
  <si>
    <t>Volzhskiy/Volgogradskaya oblast</t>
  </si>
  <si>
    <t>Vaytsechovskiy Victor</t>
  </si>
  <si>
    <t>Juniors 20-23 (01.12.1994)/22</t>
  </si>
  <si>
    <t>93,80</t>
  </si>
  <si>
    <t>Apenin Anatoliy</t>
  </si>
  <si>
    <t>Open (04.02.1989)/27</t>
  </si>
  <si>
    <t>97,80</t>
  </si>
  <si>
    <t>Frank Vyacheslav</t>
  </si>
  <si>
    <t>Masters 50-54 (03.03.1962)/54</t>
  </si>
  <si>
    <t>Evstigneev Mihail</t>
  </si>
  <si>
    <t>Open (21.06.1976)/40</t>
  </si>
  <si>
    <t>107,70</t>
  </si>
  <si>
    <t>291,0</t>
  </si>
  <si>
    <t>Ryashkin Evgeniy</t>
  </si>
  <si>
    <t>Open (06.07.1984)/32</t>
  </si>
  <si>
    <t>109,80</t>
  </si>
  <si>
    <t>Masters 40-44 (21.06.1976)/40</t>
  </si>
  <si>
    <t>111,10</t>
  </si>
  <si>
    <t>Sergeev Sergey</t>
  </si>
  <si>
    <t>Open (06.04.1974)/42</t>
  </si>
  <si>
    <t>116,50</t>
  </si>
  <si>
    <t>243,0</t>
  </si>
  <si>
    <t>Open (26.02.1956)/60</t>
  </si>
  <si>
    <t>122,20</t>
  </si>
  <si>
    <t>Vnukov Oleg</t>
  </si>
  <si>
    <t>Masters 40-44 (11.06.1974)/42</t>
  </si>
  <si>
    <t>123,00</t>
  </si>
  <si>
    <t>Masters 40-44 (06.04.1974)/42</t>
  </si>
  <si>
    <t>Sibilev Evgeniy</t>
  </si>
  <si>
    <t>Open (08.03.1970)/46</t>
  </si>
  <si>
    <t>127,10</t>
  </si>
  <si>
    <t>Masters 45-49 (08.03.1970)/46</t>
  </si>
  <si>
    <t>99,4190</t>
  </si>
  <si>
    <t>73,1700</t>
  </si>
  <si>
    <t>121,3485</t>
  </si>
  <si>
    <t>86,3660</t>
  </si>
  <si>
    <t>71,8763</t>
  </si>
  <si>
    <t>63,8825</t>
  </si>
  <si>
    <t>122,0066</t>
  </si>
  <si>
    <t>101,7790</t>
  </si>
  <si>
    <t>166,4040</t>
  </si>
  <si>
    <t>158,4660</t>
  </si>
  <si>
    <t>145,0350</t>
  </si>
  <si>
    <t>140,7255</t>
  </si>
  <si>
    <t>124,9498</t>
  </si>
  <si>
    <t>122,0120</t>
  </si>
  <si>
    <t>113,6430</t>
  </si>
  <si>
    <t>111,5205</t>
  </si>
  <si>
    <t>111,3673</t>
  </si>
  <si>
    <t>101,5003</t>
  </si>
  <si>
    <t>72,8744</t>
  </si>
  <si>
    <t>150,8720</t>
  </si>
  <si>
    <t>141,0730</t>
  </si>
  <si>
    <t>136,0103</t>
  </si>
  <si>
    <t>133,4464</t>
  </si>
  <si>
    <t>124,7105</t>
  </si>
  <si>
    <t>124,4522</t>
  </si>
  <si>
    <t>120,3920</t>
  </si>
  <si>
    <t>112,1997</t>
  </si>
  <si>
    <t>111,5455</t>
  </si>
  <si>
    <t>111,1739</t>
  </si>
  <si>
    <t>110,5417</t>
  </si>
  <si>
    <t>96,0980</t>
  </si>
  <si>
    <t>140,5</t>
  </si>
  <si>
    <t>Smolentseva Irina</t>
  </si>
  <si>
    <t>Open (10.02.1988)/28</t>
  </si>
  <si>
    <t>Filatov V.</t>
  </si>
  <si>
    <t>67,60</t>
  </si>
  <si>
    <t>105,5</t>
  </si>
  <si>
    <t>72,50</t>
  </si>
  <si>
    <t>Lopatin Vladislav</t>
  </si>
  <si>
    <t>Open (14.05.1990)/26</t>
  </si>
  <si>
    <t>79,20</t>
  </si>
  <si>
    <t>82,10</t>
  </si>
  <si>
    <t>Krestinin Andrey</t>
  </si>
  <si>
    <t>Open (02.05.1987)/29</t>
  </si>
  <si>
    <t>86,20</t>
  </si>
  <si>
    <t>Paradiz Georgiy</t>
  </si>
  <si>
    <t>Masters 40-44 (14.05.1975)/41</t>
  </si>
  <si>
    <t>96,70</t>
  </si>
  <si>
    <t>Kulebyakin Ruslan</t>
  </si>
  <si>
    <t>Open (26.02.1991)/25</t>
  </si>
  <si>
    <t>102,30</t>
  </si>
  <si>
    <t>103,10</t>
  </si>
  <si>
    <t>Sedov Artem</t>
  </si>
  <si>
    <t>Open (18.03.1979)/37</t>
  </si>
  <si>
    <t>123,70</t>
  </si>
  <si>
    <t>Guzev Pavel</t>
  </si>
  <si>
    <t>Open (29.05.1966)/50</t>
  </si>
  <si>
    <t>124,80</t>
  </si>
  <si>
    <t>Masters 50-54 (29.05.1966)/50</t>
  </si>
  <si>
    <t>116,6812</t>
  </si>
  <si>
    <t>94,3110</t>
  </si>
  <si>
    <t>162,9373</t>
  </si>
  <si>
    <t>150,4112</t>
  </si>
  <si>
    <t>132,6228</t>
  </si>
  <si>
    <t>128,5863</t>
  </si>
  <si>
    <t>125,8465</t>
  </si>
  <si>
    <t>123,8507</t>
  </si>
  <si>
    <t>121,8540</t>
  </si>
  <si>
    <t>96,9975</t>
  </si>
  <si>
    <t>152,8468</t>
  </si>
  <si>
    <t>140,0246</t>
  </si>
  <si>
    <t>139,4062</t>
  </si>
  <si>
    <t>76,7169</t>
  </si>
  <si>
    <t>Sotskova Olga</t>
  </si>
  <si>
    <t>Open (01.01.1990)/26</t>
  </si>
  <si>
    <t>62,40</t>
  </si>
  <si>
    <t>Morar Vasiliy</t>
  </si>
  <si>
    <t>Masters 40-44 (07.11.1974)/42</t>
  </si>
  <si>
    <t>54,60</t>
  </si>
  <si>
    <t>Osipov Ilya</t>
  </si>
  <si>
    <t>Open (06.02.1991)/25</t>
  </si>
  <si>
    <t>72,60</t>
  </si>
  <si>
    <t>Fedorov Ilya</t>
  </si>
  <si>
    <t>Juniors 20-23 (29.08.1992)/24</t>
  </si>
  <si>
    <t>Gerasimov V.N.</t>
  </si>
  <si>
    <t>Karapetyan Ogannes</t>
  </si>
  <si>
    <t>Open (14.11.1985)/31</t>
  </si>
  <si>
    <t>Sarkisov Ruben</t>
  </si>
  <si>
    <t>Shahin Aziz</t>
  </si>
  <si>
    <t>Open (22.09.1987)/29</t>
  </si>
  <si>
    <t>292,5</t>
  </si>
  <si>
    <t>Kravchenko Evgeniy</t>
  </si>
  <si>
    <t>Open (03.11.1986)/30</t>
  </si>
  <si>
    <t>90,90</t>
  </si>
  <si>
    <t>Battakhov Petr</t>
  </si>
  <si>
    <t>Masters 60-64 (21.04.1952)/64</t>
  </si>
  <si>
    <t>Yakutsk/Yakutiya</t>
  </si>
  <si>
    <t>Amelchenko Aleksandr</t>
  </si>
  <si>
    <t>Open (19.05.1991)/25</t>
  </si>
  <si>
    <t>108,90</t>
  </si>
  <si>
    <t>Makeev Denis</t>
  </si>
  <si>
    <t>Open (22.04.1983)/33</t>
  </si>
  <si>
    <t>Ikaev Sarmat</t>
  </si>
  <si>
    <t>Teen 18-19 (08.11.1996)/20</t>
  </si>
  <si>
    <t>114,10</t>
  </si>
  <si>
    <t>Vladikavkaz/Severnaya Osetiya - Alaniya</t>
  </si>
  <si>
    <t>Bulgakov Vladimir</t>
  </si>
  <si>
    <t>Open (15.05.1990)/26</t>
  </si>
  <si>
    <t>Isakov Aleksey</t>
  </si>
  <si>
    <t>Masters 50-54 (06.08.1963)/53</t>
  </si>
  <si>
    <t>118,10</t>
  </si>
  <si>
    <t>Omsk/Omskaya oblast</t>
  </si>
  <si>
    <t>76,5680</t>
  </si>
  <si>
    <t>139,3125</t>
  </si>
  <si>
    <t>176,2582</t>
  </si>
  <si>
    <t>194,7360</t>
  </si>
  <si>
    <t>191,4850</t>
  </si>
  <si>
    <t>180,4958</t>
  </si>
  <si>
    <t>171,9620</t>
  </si>
  <si>
    <t>169,2150</t>
  </si>
  <si>
    <t>141,1300</t>
  </si>
  <si>
    <t>108,8007</t>
  </si>
  <si>
    <t>217,7976</t>
  </si>
  <si>
    <t>170,3605</t>
  </si>
  <si>
    <t>166,9316</t>
  </si>
  <si>
    <t>131,8904</t>
  </si>
  <si>
    <t>115,7207</t>
  </si>
  <si>
    <t>Hejazi Nia</t>
  </si>
  <si>
    <t>Teen 18-19 (14.11.1997)/19</t>
  </si>
  <si>
    <t>Setayesh Poor</t>
  </si>
  <si>
    <t>Open (26.01.1988)/28</t>
  </si>
  <si>
    <t>110,00</t>
  </si>
  <si>
    <t>Farjoudfashalami Mohammadali</t>
  </si>
  <si>
    <t>Masters 40-44 (24.05.1974)/42</t>
  </si>
  <si>
    <t>108,80</t>
  </si>
  <si>
    <t>Jalali Nemat</t>
  </si>
  <si>
    <t>Open (11.09.1985)/31</t>
  </si>
  <si>
    <t>145,90</t>
  </si>
  <si>
    <t>Shirin Ehsan</t>
  </si>
  <si>
    <t>Open (23.01.1987)/29</t>
  </si>
  <si>
    <t>161,60</t>
  </si>
  <si>
    <t>137,7100</t>
  </si>
  <si>
    <t>201,3193</t>
  </si>
  <si>
    <t>168,7500</t>
  </si>
  <si>
    <t>150,8910</t>
  </si>
  <si>
    <t>149,2790</t>
  </si>
  <si>
    <t>168,5403</t>
  </si>
  <si>
    <t>141,0061</t>
  </si>
  <si>
    <t>43,30</t>
  </si>
  <si>
    <t>Filimonova Violetta</t>
  </si>
  <si>
    <t>Open (08.01.1991)/25</t>
  </si>
  <si>
    <t>50,30</t>
  </si>
  <si>
    <t>Mitrofanova Lidiya</t>
  </si>
  <si>
    <t>Open (18.02.1983)/33</t>
  </si>
  <si>
    <t>51,20</t>
  </si>
  <si>
    <t>Krikunova Nataliya</t>
  </si>
  <si>
    <t>Open (17.11.1986)/30</t>
  </si>
  <si>
    <t>50,00</t>
  </si>
  <si>
    <t>Alnykina Dariya</t>
  </si>
  <si>
    <t>Juniors 20-23 (28.02.1995)/21</t>
  </si>
  <si>
    <t>55,70</t>
  </si>
  <si>
    <t>Zhigulina Ekaterina</t>
  </si>
  <si>
    <t>Open (14.11.1987)/29</t>
  </si>
  <si>
    <t>55,90</t>
  </si>
  <si>
    <t>Dunaytseva Olga</t>
  </si>
  <si>
    <t>Open (11.02.1986)/30</t>
  </si>
  <si>
    <t>54,90</t>
  </si>
  <si>
    <t>Kuzmishchev Vladislav</t>
  </si>
  <si>
    <t>Bichkova Ekaterina</t>
  </si>
  <si>
    <t>Teen 16-17 (14.10.1999)/17</t>
  </si>
  <si>
    <t>Karyakin V.V.</t>
  </si>
  <si>
    <t>Savchenko Yuliya</t>
  </si>
  <si>
    <t>Open (25.10.1983)/33</t>
  </si>
  <si>
    <t>57,40</t>
  </si>
  <si>
    <t>Yakovleva Elena</t>
  </si>
  <si>
    <t>Open (04.12.1983)/33</t>
  </si>
  <si>
    <t>Karyakina Anastasiya</t>
  </si>
  <si>
    <t>Open (29.12.1991)/25</t>
  </si>
  <si>
    <t>59,10</t>
  </si>
  <si>
    <t>Nezhentseva Veronika</t>
  </si>
  <si>
    <t>Teen 13-15 (14.06.2001)/15</t>
  </si>
  <si>
    <t>64,00</t>
  </si>
  <si>
    <t>66,10</t>
  </si>
  <si>
    <t>Snetkova Oksana</t>
  </si>
  <si>
    <t>Open (28.05.1979)/37</t>
  </si>
  <si>
    <t>Makarova Yuliya</t>
  </si>
  <si>
    <t>Masters 45-49 (30.06.1969)/47</t>
  </si>
  <si>
    <t>65,40</t>
  </si>
  <si>
    <t>Kurbatova Olga</t>
  </si>
  <si>
    <t>Open (03.10.1982)/34</t>
  </si>
  <si>
    <t>Gataev Dinislam</t>
  </si>
  <si>
    <t>Teen 18-19 (23.10.1996)/20</t>
  </si>
  <si>
    <t>59,40</t>
  </si>
  <si>
    <t>Karachayevsk/Karachayevo-Cherkesiya</t>
  </si>
  <si>
    <t>Alkhazov Alikhan</t>
  </si>
  <si>
    <t>Makridenko Nikita</t>
  </si>
  <si>
    <t>Teen 18-19 (27.05.1997)/19</t>
  </si>
  <si>
    <t>58,30</t>
  </si>
  <si>
    <t>Klintsy/Bryanskaya oblast</t>
  </si>
  <si>
    <t>Gabrielyan Samvel</t>
  </si>
  <si>
    <t>Open (04.05.1989)/27</t>
  </si>
  <si>
    <t>59,70</t>
  </si>
  <si>
    <t>Dzugoyev Artur</t>
  </si>
  <si>
    <t>Rakhmanov Ruslan</t>
  </si>
  <si>
    <t>Juniors 20-23 (24.08.1995)/21</t>
  </si>
  <si>
    <t>240,5</t>
  </si>
  <si>
    <t>Zlobin Anton</t>
  </si>
  <si>
    <t>Open (30.08.1987)/29</t>
  </si>
  <si>
    <t>Popov Maksim</t>
  </si>
  <si>
    <t>Open (03.09.1984)/32</t>
  </si>
  <si>
    <t>65,90</t>
  </si>
  <si>
    <t>Zubov Yuriy</t>
  </si>
  <si>
    <t>Masters 75-79 (16.08.1939)/77</t>
  </si>
  <si>
    <t>Noginsk/Moskovskaya oblast</t>
  </si>
  <si>
    <t>Dambinov Aleksandr</t>
  </si>
  <si>
    <t>Masters 80up (12.03.1936)/80</t>
  </si>
  <si>
    <t>65,00</t>
  </si>
  <si>
    <t>Elista/Kalmykiya</t>
  </si>
  <si>
    <t>Kuznetsov Ivan</t>
  </si>
  <si>
    <t>Teen 13-15 (25.08.2000)/16</t>
  </si>
  <si>
    <t>74,90</t>
  </si>
  <si>
    <t>Levchenko Aleksandr</t>
  </si>
  <si>
    <t>Teen 18-19 (13.10.1997)/19</t>
  </si>
  <si>
    <t>Bataysk/Rostovskaya oblast</t>
  </si>
  <si>
    <t>71,90</t>
  </si>
  <si>
    <t>Demin Aleksey</t>
  </si>
  <si>
    <t>Juniors 20-23 (12.11.1994)/22</t>
  </si>
  <si>
    <t>68,80</t>
  </si>
  <si>
    <t>Stepanischev Aleksandr</t>
  </si>
  <si>
    <t>Open (30.03.1990)/26</t>
  </si>
  <si>
    <t>Nikitin Sergey</t>
  </si>
  <si>
    <t>Masters 50-54 (28.03.1964)/52</t>
  </si>
  <si>
    <t>68,00</t>
  </si>
  <si>
    <t>Dolmatov Boris</t>
  </si>
  <si>
    <t>Masters 70-74 (04.08.1945)/71</t>
  </si>
  <si>
    <t>70,60</t>
  </si>
  <si>
    <t>265,5</t>
  </si>
  <si>
    <t>Semenov Yuriy</t>
  </si>
  <si>
    <t>Kiselev Mihail</t>
  </si>
  <si>
    <t>Juniors 20-23 (20.12.1992)/24</t>
  </si>
  <si>
    <t>Domodedovo/Moskovskaya oblast</t>
  </si>
  <si>
    <t>Kuzmischev Vladislav</t>
  </si>
  <si>
    <t>Open (18.10.1983)/33</t>
  </si>
  <si>
    <t>Alchevsk/Luganskaya oblast</t>
  </si>
  <si>
    <t>290,5</t>
  </si>
  <si>
    <t>Kuzmishcheva Yelena</t>
  </si>
  <si>
    <t>Avdeev Oleg</t>
  </si>
  <si>
    <t>Open (29.09.1979)/37</t>
  </si>
  <si>
    <t>Zhuravlev M.S.</t>
  </si>
  <si>
    <t>Dikarev Dmitriy</t>
  </si>
  <si>
    <t>Open (11.11.1990)/26</t>
  </si>
  <si>
    <t>Rabadanov Rustam</t>
  </si>
  <si>
    <t>Masters 45-49 (20.07.1970)/46</t>
  </si>
  <si>
    <t>Gubkinskiy/Yamalo-Nenetskiy avt. okr.</t>
  </si>
  <si>
    <t>Oparinov Aleksandr</t>
  </si>
  <si>
    <t>Masters 45-49 (10.11.1980)/36</t>
  </si>
  <si>
    <t>77,20</t>
  </si>
  <si>
    <t>76,60</t>
  </si>
  <si>
    <t>TIkhinya Nikita</t>
  </si>
  <si>
    <t>Teen 18-19 (24.09.1997)/19</t>
  </si>
  <si>
    <t>83,00</t>
  </si>
  <si>
    <t>Bronzov Sergey</t>
  </si>
  <si>
    <t>Juniors 20-23 (04.05.1996)/20</t>
  </si>
  <si>
    <t>Belousov Roman</t>
  </si>
  <si>
    <t>Juniors 20-23 (19.05.1996)/20</t>
  </si>
  <si>
    <t>83,90</t>
  </si>
  <si>
    <t>Chaschin Aleksandr</t>
  </si>
  <si>
    <t>Open (15.06.1987)/29</t>
  </si>
  <si>
    <t>85,70</t>
  </si>
  <si>
    <t>Kvaratskheliya Danil</t>
  </si>
  <si>
    <t>Masters 40-44 (22.09.1972)/44</t>
  </si>
  <si>
    <t>Zaytsev Vadim</t>
  </si>
  <si>
    <t>Masters 55-59 (26.08.1960)/56</t>
  </si>
  <si>
    <t>85,50</t>
  </si>
  <si>
    <t>Gnatuk Sergey</t>
  </si>
  <si>
    <t>Masters 55-59 (10.12.1960)/56</t>
  </si>
  <si>
    <t>88,10</t>
  </si>
  <si>
    <t>Pauyesov A.I.</t>
  </si>
  <si>
    <t>Kalinin Vladimir</t>
  </si>
  <si>
    <t>Masters 55-59 (18.07.1960)/56</t>
  </si>
  <si>
    <t>Belokurov Nikolay</t>
  </si>
  <si>
    <t>Masters 60-64 (29.11.1955)/61</t>
  </si>
  <si>
    <t>Tikhonov Andrey</t>
  </si>
  <si>
    <t>Open (08.11.1980)/36</t>
  </si>
  <si>
    <t>96,40</t>
  </si>
  <si>
    <t>Baghdagyulyan Vachagan</t>
  </si>
  <si>
    <t>Open (23.02.1988)/28</t>
  </si>
  <si>
    <t>Armenia</t>
  </si>
  <si>
    <t>Yerevan/Armeniya</t>
  </si>
  <si>
    <t>Prosolov Evgeniy</t>
  </si>
  <si>
    <t>Masters 45-49 (30.03.1968)/48</t>
  </si>
  <si>
    <t>99,60</t>
  </si>
  <si>
    <t>Lischuk Sergey</t>
  </si>
  <si>
    <t>Open (05.11.1967)/49</t>
  </si>
  <si>
    <t>276,0</t>
  </si>
  <si>
    <t>Masters 45-49 (05.11.1967)/49</t>
  </si>
  <si>
    <t>Burakov Andrey</t>
  </si>
  <si>
    <t>Masters 55-59 (17.09.1958)/58</t>
  </si>
  <si>
    <t>Efremov Mikhail</t>
  </si>
  <si>
    <t>Juniors 20-23 (05.04.1994)/22</t>
  </si>
  <si>
    <t>Juniors 20-23 (11.11.1992)/24</t>
  </si>
  <si>
    <t>123,40</t>
  </si>
  <si>
    <t>120,40</t>
  </si>
  <si>
    <t>121,00</t>
  </si>
  <si>
    <t>Evgrafov Anatoliy</t>
  </si>
  <si>
    <t>Masters 55-59 (11.07.1960)/56</t>
  </si>
  <si>
    <t>114,90</t>
  </si>
  <si>
    <t>Feklisov Sergey</t>
  </si>
  <si>
    <t>Open (26.02.1982)/34</t>
  </si>
  <si>
    <t>152,00</t>
  </si>
  <si>
    <t>Bogachev Aleksandr</t>
  </si>
  <si>
    <t>Masters 40-44 (29.10.1972)/44</t>
  </si>
  <si>
    <t>141,90</t>
  </si>
  <si>
    <t>Zhuravlev S.P.</t>
  </si>
  <si>
    <t>118,0993</t>
  </si>
  <si>
    <t>108,9512</t>
  </si>
  <si>
    <t>82,0794</t>
  </si>
  <si>
    <t>125,8080</t>
  </si>
  <si>
    <t>168,3510</t>
  </si>
  <si>
    <t>153,5100</t>
  </si>
  <si>
    <t>142,1250</t>
  </si>
  <si>
    <t>134,5440</t>
  </si>
  <si>
    <t>133,6125</t>
  </si>
  <si>
    <t>125,7437</t>
  </si>
  <si>
    <t>122,8345</t>
  </si>
  <si>
    <t>121,9690</t>
  </si>
  <si>
    <t>118,6500</t>
  </si>
  <si>
    <t>115,5865</t>
  </si>
  <si>
    <t>114,2300</t>
  </si>
  <si>
    <t>113,9125</t>
  </si>
  <si>
    <t>112,4938</t>
  </si>
  <si>
    <t>89,9730</t>
  </si>
  <si>
    <t>171,1161</t>
  </si>
  <si>
    <t>140,4816</t>
  </si>
  <si>
    <t>134,7058</t>
  </si>
  <si>
    <t>168,2100</t>
  </si>
  <si>
    <t>164,8075</t>
  </si>
  <si>
    <t>160,2390</t>
  </si>
  <si>
    <t>154,4180</t>
  </si>
  <si>
    <t>154,2150</t>
  </si>
  <si>
    <t>149,2995</t>
  </si>
  <si>
    <t>143,1542</t>
  </si>
  <si>
    <t>128,4200</t>
  </si>
  <si>
    <t>117,8695</t>
  </si>
  <si>
    <t>176,7840</t>
  </si>
  <si>
    <t>176,1190</t>
  </si>
  <si>
    <t>172,7875</t>
  </si>
  <si>
    <t>157,4115</t>
  </si>
  <si>
    <t>151,0698</t>
  </si>
  <si>
    <t>149,4425</t>
  </si>
  <si>
    <t>148,6145</t>
  </si>
  <si>
    <t>148,3730</t>
  </si>
  <si>
    <t>140,7175</t>
  </si>
  <si>
    <t>140,2750</t>
  </si>
  <si>
    <t>139,5120</t>
  </si>
  <si>
    <t>132,7202</t>
  </si>
  <si>
    <t>130,7388</t>
  </si>
  <si>
    <t>178,8188</t>
  </si>
  <si>
    <t>174,2239</t>
  </si>
  <si>
    <t>169,2075</t>
  </si>
  <si>
    <t>168,5770</t>
  </si>
  <si>
    <t>168,0800</t>
  </si>
  <si>
    <t>166,7208</t>
  </si>
  <si>
    <t>162,0834</t>
  </si>
  <si>
    <t>158,0390</t>
  </si>
  <si>
    <t>156,9067</t>
  </si>
  <si>
    <t>156,7500</t>
  </si>
  <si>
    <t>154,6875</t>
  </si>
  <si>
    <t>153,8290</t>
  </si>
  <si>
    <t>148,6774</t>
  </si>
  <si>
    <t>147,9010</t>
  </si>
  <si>
    <t>138,0885</t>
  </si>
  <si>
    <t>132,4607</t>
  </si>
  <si>
    <t>130,9000</t>
  </si>
  <si>
    <t>123,5263</t>
  </si>
  <si>
    <t>120,9780</t>
  </si>
  <si>
    <t>Masters 80up</t>
  </si>
  <si>
    <t>253,6424</t>
  </si>
  <si>
    <t>230,5436</t>
  </si>
  <si>
    <t>193,9874</t>
  </si>
  <si>
    <t>186,7890</t>
  </si>
  <si>
    <t>186,3033</t>
  </si>
  <si>
    <t>176,7691</t>
  </si>
  <si>
    <t>174,2017</t>
  </si>
  <si>
    <t>172,7915</t>
  </si>
  <si>
    <t>162,2474</t>
  </si>
  <si>
    <t>152,1524</t>
  </si>
  <si>
    <t>147,9233</t>
  </si>
  <si>
    <t>146,9201</t>
  </si>
  <si>
    <t>144,0181</t>
  </si>
  <si>
    <t>141,9579</t>
  </si>
  <si>
    <t>141,5435</t>
  </si>
  <si>
    <t>140,6207</t>
  </si>
  <si>
    <t>137,5621</t>
  </si>
  <si>
    <t>117,0336</t>
  </si>
  <si>
    <t>67,4250</t>
  </si>
  <si>
    <t>52,30</t>
  </si>
  <si>
    <t>64,70</t>
  </si>
  <si>
    <t>Belozerov Aleksandr</t>
  </si>
  <si>
    <t>Berdnikov Aleksandr</t>
  </si>
  <si>
    <t>Teen 13-15 (15.09.2000)/16</t>
  </si>
  <si>
    <t>Dorodnikh Vladimir</t>
  </si>
  <si>
    <t>Masters 60-64 (28.03.1954)/62</t>
  </si>
  <si>
    <t>101,30</t>
  </si>
  <si>
    <t>113,00</t>
  </si>
  <si>
    <t>116,10</t>
  </si>
  <si>
    <t>152,9520</t>
  </si>
  <si>
    <t>179,9850</t>
  </si>
  <si>
    <t>148,8375</t>
  </si>
  <si>
    <t>134,8500</t>
  </si>
  <si>
    <t>151,5585</t>
  </si>
  <si>
    <t>151,3890</t>
  </si>
  <si>
    <t>144,0670</t>
  </si>
  <si>
    <t>128,4665</t>
  </si>
  <si>
    <t>182,1487</t>
  </si>
  <si>
    <t>158,1750</t>
  </si>
  <si>
    <t>156,0938</t>
  </si>
  <si>
    <t>153,6080</t>
  </si>
  <si>
    <t>153,5895</t>
  </si>
  <si>
    <t>147,9480</t>
  </si>
  <si>
    <t>144,5955</t>
  </si>
  <si>
    <t>200,0495</t>
  </si>
  <si>
    <t>183,4242</t>
  </si>
  <si>
    <t>168,4877</t>
  </si>
  <si>
    <t>120,7212</t>
  </si>
  <si>
    <t>71,60</t>
  </si>
  <si>
    <t>95,20</t>
  </si>
  <si>
    <t>128,9450</t>
  </si>
  <si>
    <t>165,0600</t>
  </si>
  <si>
    <t>158,1534</t>
  </si>
  <si>
    <t>155,0760</t>
  </si>
  <si>
    <t>178,2900</t>
  </si>
  <si>
    <t>160,4812</t>
  </si>
  <si>
    <t>149,0256</t>
  </si>
  <si>
    <t>World Championship AWPC multy ply deadlift_x000D_
10-14.08.2016</t>
  </si>
  <si>
    <t>World Championship AWPC 1-ply deadlift
10-14.08.2016</t>
  </si>
  <si>
    <t>World Championship AWPC raw deadlift
10-14.08.2016</t>
  </si>
  <si>
    <t>World Championship WPC multy ply deadlift
10-14.08.2016</t>
  </si>
  <si>
    <t>World Championship WPC 1-ply deadlift
10-14.08.2016</t>
  </si>
  <si>
    <t>World Championship WPC raw deadlift
10-14.08.2016</t>
  </si>
  <si>
    <t>World Championship AWPC multy ply benchpress
10-14.08.2016</t>
  </si>
  <si>
    <t>World Championship AWPC 1-ply benchpress
10-14.08.2016</t>
  </si>
  <si>
    <t>World Championship AWPC raw benchpress
10-14.08.2016</t>
  </si>
  <si>
    <t>World Championship AWPC multy ply powerlifting
10-14.08.2016</t>
  </si>
  <si>
    <t>World Championship AWPC raw powerlifting
10-14.08.2016</t>
  </si>
  <si>
    <t>World Championship WPC multy ply benchpres
10-14.08.2016</t>
  </si>
  <si>
    <t>World Championship WPC raw benchpress
10-14.08.2016</t>
  </si>
  <si>
    <t>World Championship WPC multy ply powerlifting
10-14.08.2016</t>
  </si>
  <si>
    <t>World Championship WPC 1-ply powerlifting
10-14.08.2016</t>
  </si>
  <si>
    <t>World Championship WPC raw powerlifting
10-14.08.2016</t>
  </si>
  <si>
    <t>World Championship AWPC classic raw powerlifting
10-14.08.2016</t>
  </si>
  <si>
    <t>World Championship WPC classic raw powerlifting
10-14.08.2016</t>
  </si>
  <si>
    <t>907,7162</t>
  </si>
  <si>
    <t>1170,0</t>
  </si>
  <si>
    <t>1260,5023</t>
  </si>
  <si>
    <t>1360,0</t>
  </si>
  <si>
    <t>1277,2175</t>
  </si>
  <si>
    <t>2232,5</t>
  </si>
  <si>
    <t>1309,8631</t>
  </si>
  <si>
    <t>2040,0</t>
  </si>
  <si>
    <t>1672,5068</t>
  </si>
  <si>
    <t>2687,5</t>
  </si>
  <si>
    <t>1791,0859</t>
  </si>
  <si>
    <t>3075,0</t>
  </si>
  <si>
    <t>Yurkin Andrey</t>
  </si>
  <si>
    <t>1834,4502</t>
  </si>
  <si>
    <t>2475,0</t>
  </si>
  <si>
    <t>Balakshin Aleksandr</t>
  </si>
  <si>
    <t>1843,9228</t>
  </si>
  <si>
    <t>3240,0</t>
  </si>
  <si>
    <t>2074,8742</t>
  </si>
  <si>
    <t>2450,0</t>
  </si>
  <si>
    <t>Khamilov Aleksandr</t>
  </si>
  <si>
    <t>2097,9151</t>
  </si>
  <si>
    <t>3712,5</t>
  </si>
  <si>
    <t>Dannikov Yuriy</t>
  </si>
  <si>
    <t>2873,2361</t>
  </si>
  <si>
    <t>4407,5</t>
  </si>
  <si>
    <t>Kushin Igor</t>
  </si>
  <si>
    <t>1390,6681</t>
  </si>
  <si>
    <t>2550,0</t>
  </si>
  <si>
    <t>1678,0426</t>
  </si>
  <si>
    <t>2775,0</t>
  </si>
  <si>
    <t>1696,6688</t>
  </si>
  <si>
    <t>2712,5</t>
  </si>
  <si>
    <t>Serichenko Aleksandr</t>
  </si>
  <si>
    <t>1862,9100</t>
  </si>
  <si>
    <t>2520,0</t>
  </si>
  <si>
    <t>Ognevoy Nikolay</t>
  </si>
  <si>
    <t>1866,3751</t>
  </si>
  <si>
    <t>2700,0</t>
  </si>
  <si>
    <t>Egorov Aleksandr</t>
  </si>
  <si>
    <t>1886,3190</t>
  </si>
  <si>
    <t>2790,0</t>
  </si>
  <si>
    <t>Kozlov Aleksandr</t>
  </si>
  <si>
    <t>1962,3574</t>
  </si>
  <si>
    <t>3382,5</t>
  </si>
  <si>
    <t>Osipov Pavel</t>
  </si>
  <si>
    <t>2014,6501</t>
  </si>
  <si>
    <t>3330,0</t>
  </si>
  <si>
    <t>Mosin Mihail</t>
  </si>
  <si>
    <t>2077,1437</t>
  </si>
  <si>
    <t>2284,8075</t>
  </si>
  <si>
    <t>3037,5</t>
  </si>
  <si>
    <t>2299,6349</t>
  </si>
  <si>
    <t>3900,0</t>
  </si>
  <si>
    <t>Nosenko Mikhail</t>
  </si>
  <si>
    <t>2320,9486</t>
  </si>
  <si>
    <t>3997,5</t>
  </si>
  <si>
    <t>Ananiev Alleksandr</t>
  </si>
  <si>
    <t>2342,4607</t>
  </si>
  <si>
    <t>3885,0</t>
  </si>
  <si>
    <t>Litvinov Maksim</t>
  </si>
  <si>
    <t>2480,6996</t>
  </si>
  <si>
    <t>3910,0</t>
  </si>
  <si>
    <t>Danchenko Aleksey</t>
  </si>
  <si>
    <t>2534,5319</t>
  </si>
  <si>
    <t>4290,0</t>
  </si>
  <si>
    <t>Kornienko Ruslan</t>
  </si>
  <si>
    <t>2542,6868</t>
  </si>
  <si>
    <t>2610,5625</t>
  </si>
  <si>
    <t>3750,0</t>
  </si>
  <si>
    <t>Kalinin Andrey</t>
  </si>
  <si>
    <t>1029,9663</t>
  </si>
  <si>
    <t>1615,0</t>
  </si>
  <si>
    <t>Markov Ilya</t>
  </si>
  <si>
    <t>1397,7529</t>
  </si>
  <si>
    <t>1957,5</t>
  </si>
  <si>
    <t>Kosarev Yuriy</t>
  </si>
  <si>
    <t>2152,6681</t>
  </si>
  <si>
    <t>2940,0</t>
  </si>
  <si>
    <t>Birukov Kirill</t>
  </si>
  <si>
    <t>2635,2719</t>
  </si>
  <si>
    <t>3060,0</t>
  </si>
  <si>
    <t>Chursanov Maksim</t>
  </si>
  <si>
    <t>20,0</t>
  </si>
  <si>
    <t>17,0</t>
  </si>
  <si>
    <t>19,0</t>
  </si>
  <si>
    <t>27,0</t>
  </si>
  <si>
    <t>Masters 40-44 (15.03.1973)/43</t>
  </si>
  <si>
    <t>33,0</t>
  </si>
  <si>
    <t>Shebekino/Belgorodskaya oblast</t>
  </si>
  <si>
    <t>112,20</t>
  </si>
  <si>
    <t>Masters 40-44 (04.12.1974)/42</t>
  </si>
  <si>
    <t>Open (04.12.1974)/42</t>
  </si>
  <si>
    <t>43,0</t>
  </si>
  <si>
    <t>101,90</t>
  </si>
  <si>
    <t>Masters 50-54 (30.01.1966)/50</t>
  </si>
  <si>
    <t>25,0</t>
  </si>
  <si>
    <t>30,0</t>
  </si>
  <si>
    <t>102,00</t>
  </si>
  <si>
    <t>Masters 40-44 (06.07.1975)/41</t>
  </si>
  <si>
    <t>100,50</t>
  </si>
  <si>
    <t>Open (21.04.1985)/31</t>
  </si>
  <si>
    <t>39,0</t>
  </si>
  <si>
    <t>100,30</t>
  </si>
  <si>
    <t>Open (11.03.1982)/34</t>
  </si>
  <si>
    <t>Open (30.01.1966)/50</t>
  </si>
  <si>
    <t>4,0</t>
  </si>
  <si>
    <t>36,0</t>
  </si>
  <si>
    <t>Smolensk/Smolenskaya oblast</t>
  </si>
  <si>
    <t>91,90</t>
  </si>
  <si>
    <t>Open (08.02.1977)/39</t>
  </si>
  <si>
    <t>Akhtubinsk/Astrakhanskaya oblast</t>
  </si>
  <si>
    <t>96,80</t>
  </si>
  <si>
    <t>Open (25.08.1981)/35</t>
  </si>
  <si>
    <t>42,0</t>
  </si>
  <si>
    <t>Vitebsk/Vitebskaya oblast</t>
  </si>
  <si>
    <t>92,50</t>
  </si>
  <si>
    <t>Open (25.11.1993)/23</t>
  </si>
  <si>
    <t>44,0</t>
  </si>
  <si>
    <t>Mikhaylovka/Volgogradskaya oblast</t>
  </si>
  <si>
    <t>Open (09.03.1981)/35</t>
  </si>
  <si>
    <t>Juniors 20-23 (25.11.1993)/23</t>
  </si>
  <si>
    <t>16,0</t>
  </si>
  <si>
    <t>Gomel/Gomelskaya</t>
  </si>
  <si>
    <t>13,0</t>
  </si>
  <si>
    <t>31,0</t>
  </si>
  <si>
    <t>Open (01.10.1989)/27</t>
  </si>
  <si>
    <t>46,0</t>
  </si>
  <si>
    <t>84,60</t>
  </si>
  <si>
    <t>Open (28.09.1983)/33</t>
  </si>
  <si>
    <t>Juniors 20-23 (03.08.1993)/23</t>
  </si>
  <si>
    <t>Orsha/Vitebskaya oblast</t>
  </si>
  <si>
    <t>Open (11.10.1985)/31</t>
  </si>
  <si>
    <t>Yaroslavl/Yaroslavskaya oblast</t>
  </si>
  <si>
    <t>68,60</t>
  </si>
  <si>
    <t>Masters 50-54 (23.05.1965)/51</t>
  </si>
  <si>
    <t>Drezna/Moskovskaya oblast</t>
  </si>
  <si>
    <t>74,20</t>
  </si>
  <si>
    <t>Masters 45-49 (25.05.1970)/46</t>
  </si>
  <si>
    <t>Lukhovitsy/Moskovskaya oblast</t>
  </si>
  <si>
    <t>Open (21.03.1983)/33</t>
  </si>
  <si>
    <t>68,50</t>
  </si>
  <si>
    <t>Open (06.04.1981)/35</t>
  </si>
  <si>
    <t>73,90</t>
  </si>
  <si>
    <t>Open (06.03.1984)/32</t>
  </si>
  <si>
    <t>Juniors 20-23 (06.06.1996)/20</t>
  </si>
  <si>
    <t>Juniors 20-23 (10.04.1995)/21</t>
  </si>
  <si>
    <t>51,0</t>
  </si>
  <si>
    <t>58,00</t>
  </si>
  <si>
    <t>Teen 18-19 (18.02.1997)/19</t>
  </si>
  <si>
    <t>Кол-во</t>
  </si>
  <si>
    <t>Вес</t>
  </si>
  <si>
    <t>Bith date
Age Categoty</t>
  </si>
  <si>
    <t>772,7904</t>
  </si>
  <si>
    <t>Ivanov Igor</t>
  </si>
  <si>
    <t>906,8250</t>
  </si>
  <si>
    <t>1200,0</t>
  </si>
  <si>
    <t>1093,2646</t>
  </si>
  <si>
    <t>1710,0</t>
  </si>
  <si>
    <t>Filin Mihail</t>
  </si>
  <si>
    <t>1130,8869</t>
  </si>
  <si>
    <t>1980,0</t>
  </si>
  <si>
    <t>1191,5641</t>
  </si>
  <si>
    <t>2160,0</t>
  </si>
  <si>
    <t>1322,5899</t>
  </si>
  <si>
    <t>2200,0</t>
  </si>
  <si>
    <t>1331,5628</t>
  </si>
  <si>
    <t>2295,0</t>
  </si>
  <si>
    <t>1393,4886</t>
  </si>
  <si>
    <t>2042,5</t>
  </si>
  <si>
    <t>1450,0351</t>
  </si>
  <si>
    <t>2362,5</t>
  </si>
  <si>
    <t>Saposhnikov Eduard</t>
  </si>
  <si>
    <t>1497,3180</t>
  </si>
  <si>
    <t>2275,0</t>
  </si>
  <si>
    <t>1498,5272</t>
  </si>
  <si>
    <t>Skurtu Aleksandr</t>
  </si>
  <si>
    <t>1625,4040</t>
  </si>
  <si>
    <t>2565,0</t>
  </si>
  <si>
    <t>1632,3078</t>
  </si>
  <si>
    <t>2795,0</t>
  </si>
  <si>
    <t>1762,1281</t>
  </si>
  <si>
    <t>2880,0</t>
  </si>
  <si>
    <t>Rakhmeev Mikhail</t>
  </si>
  <si>
    <t>1889,0948</t>
  </si>
  <si>
    <t>Aglish Sergey</t>
  </si>
  <si>
    <t>1969,8158</t>
  </si>
  <si>
    <t>3145,0</t>
  </si>
  <si>
    <t>Dzugkoev Artur</t>
  </si>
  <si>
    <t>2018,1596</t>
  </si>
  <si>
    <t>3120,0</t>
  </si>
  <si>
    <t>2111,8939</t>
  </si>
  <si>
    <t>2970,0</t>
  </si>
  <si>
    <t>2357,0932</t>
  </si>
  <si>
    <t>3610,0</t>
  </si>
  <si>
    <t>807,7125</t>
  </si>
  <si>
    <t>1275,0</t>
  </si>
  <si>
    <t>Gavrilin Ilya</t>
  </si>
  <si>
    <t>908,0271</t>
  </si>
  <si>
    <t>1238,3800</t>
  </si>
  <si>
    <t>1246,7817</t>
  </si>
  <si>
    <t>1257,5460</t>
  </si>
  <si>
    <t>1860,0</t>
  </si>
  <si>
    <t>1320,3352</t>
  </si>
  <si>
    <t>2422,5</t>
  </si>
  <si>
    <t>1410,9809</t>
  </si>
  <si>
    <t>2530,0</t>
  </si>
  <si>
    <t>Kilba Ruslan</t>
  </si>
  <si>
    <t>1513,3301</t>
  </si>
  <si>
    <t>2600,0</t>
  </si>
  <si>
    <t>Kalashnikov Nikolay</t>
  </si>
  <si>
    <t>1624,3133</t>
  </si>
  <si>
    <t>2835,0</t>
  </si>
  <si>
    <t>Chernov Eduard</t>
  </si>
  <si>
    <t>1719,8955</t>
  </si>
  <si>
    <t>1755,8025</t>
  </si>
  <si>
    <t>Strelnikov Valeriy</t>
  </si>
  <si>
    <t>1827,0251</t>
  </si>
  <si>
    <t>3380,0</t>
  </si>
  <si>
    <t>Savin Ruslan</t>
  </si>
  <si>
    <t>1832,2937</t>
  </si>
  <si>
    <t>1839,7079</t>
  </si>
  <si>
    <t>1900,9439</t>
  </si>
  <si>
    <t>1983,3619</t>
  </si>
  <si>
    <t>3052,5</t>
  </si>
  <si>
    <t>2075,4040</t>
  </si>
  <si>
    <t>3422,5</t>
  </si>
  <si>
    <t>Sinkevich Aleksandr</t>
  </si>
  <si>
    <t>2177,6673</t>
  </si>
  <si>
    <t>3607,5</t>
  </si>
  <si>
    <t>Padabed Sergey</t>
  </si>
  <si>
    <t>2368,1600</t>
  </si>
  <si>
    <t>4100,0</t>
  </si>
  <si>
    <t>Suprunenko Vladislav</t>
  </si>
  <si>
    <t>2375,2124</t>
  </si>
  <si>
    <t>3870,0</t>
  </si>
  <si>
    <t>Chibisov Pavel</t>
  </si>
  <si>
    <t>2808,0676</t>
  </si>
  <si>
    <t>4050,0</t>
  </si>
  <si>
    <t>2828,9519</t>
  </si>
  <si>
    <t>3780,0</t>
  </si>
  <si>
    <t>Pchikhachev Aslanbek</t>
  </si>
  <si>
    <t>1076,1379</t>
  </si>
  <si>
    <t>1960,0</t>
  </si>
  <si>
    <t>783,9283</t>
  </si>
  <si>
    <t>1295,0</t>
  </si>
  <si>
    <t>Dykin Egor</t>
  </si>
  <si>
    <t>12,0</t>
  </si>
  <si>
    <t>140,20</t>
  </si>
  <si>
    <t>Masters 50-54 (17.11.1961)/55</t>
  </si>
  <si>
    <t>Open (17.11.1961)/55</t>
  </si>
  <si>
    <t>Kobelev V.V.</t>
  </si>
  <si>
    <t>18,0</t>
  </si>
  <si>
    <t>26,0</t>
  </si>
  <si>
    <t>129,80</t>
  </si>
  <si>
    <t>Open (26.12.1978)/38</t>
  </si>
  <si>
    <t>21,0</t>
  </si>
  <si>
    <t>22,0</t>
  </si>
  <si>
    <t>113,70</t>
  </si>
  <si>
    <t>Open (10.07.1978)/38</t>
  </si>
  <si>
    <t>107,40</t>
  </si>
  <si>
    <t>Open (28.08.1969)/47</t>
  </si>
  <si>
    <t>103,80</t>
  </si>
  <si>
    <t>Open (19.06.1982)/34</t>
  </si>
  <si>
    <t>Millerovo/Rostovskaya oblast</t>
  </si>
  <si>
    <t>101,60</t>
  </si>
  <si>
    <t>Open (15.02.1989)/27</t>
  </si>
  <si>
    <t>Gudkov Mikhail</t>
  </si>
  <si>
    <t>32,0</t>
  </si>
  <si>
    <t>Sosnovyy Bor/Leningradskaya oblast</t>
  </si>
  <si>
    <t>Masters 45-49 (05.08.1968)/48</t>
  </si>
  <si>
    <t>38,0</t>
  </si>
  <si>
    <t>94,90</t>
  </si>
  <si>
    <t>34,0</t>
  </si>
  <si>
    <t>Masters 40-44 (12.07.1973)/43</t>
  </si>
  <si>
    <t>Tiksi/Respublika Yakutiya</t>
  </si>
  <si>
    <t>Open (20.07.1978)/38</t>
  </si>
  <si>
    <t>Open (05.08.1968)/48</t>
  </si>
  <si>
    <t>Litvinov M.V.</t>
  </si>
  <si>
    <t>37,0</t>
  </si>
  <si>
    <t>91,50</t>
  </si>
  <si>
    <t>Open (04.02.1991)/25</t>
  </si>
  <si>
    <t>92,30</t>
  </si>
  <si>
    <t>Open (13.11.1985)/31</t>
  </si>
  <si>
    <t>14,0</t>
  </si>
  <si>
    <t>91,80</t>
  </si>
  <si>
    <t>Kirov/Kirovskaya oblast</t>
  </si>
  <si>
    <t>Masters 45-49 (03.09.1969)/47</t>
  </si>
  <si>
    <t>83,40</t>
  </si>
  <si>
    <t>Masters 40-44 (17.11.1973)/43</t>
  </si>
  <si>
    <t>15,0</t>
  </si>
  <si>
    <t>84,80</t>
  </si>
  <si>
    <t>Open (20.09.1983)/33</t>
  </si>
  <si>
    <t>Open (26.02.1980)/36</t>
  </si>
  <si>
    <t>78,10</t>
  </si>
  <si>
    <t>81,80</t>
  </si>
  <si>
    <t>77,00</t>
  </si>
  <si>
    <t>Masters 40-44 (24.02.1973)/43</t>
  </si>
  <si>
    <t>24,0</t>
  </si>
  <si>
    <t>Open (24.02.1973)/43</t>
  </si>
  <si>
    <t>Open (25.03.1981)/35</t>
  </si>
  <si>
    <t>54,0</t>
  </si>
  <si>
    <t>56,0</t>
  </si>
  <si>
    <t>Maykop/Adygeya</t>
  </si>
  <si>
    <t>Open (20.08.1991)/25</t>
  </si>
  <si>
    <t>1421,6963</t>
  </si>
  <si>
    <t>1462,5</t>
  </si>
  <si>
    <t>1537,5100</t>
  </si>
  <si>
    <t>1300,0</t>
  </si>
  <si>
    <t>52,0</t>
  </si>
  <si>
    <t>638,9281</t>
  </si>
  <si>
    <t>687,5</t>
  </si>
  <si>
    <t>788,9035</t>
  </si>
  <si>
    <t>1085,0</t>
  </si>
  <si>
    <t>Kilba Dmitriy</t>
  </si>
  <si>
    <t>1006,5060</t>
  </si>
  <si>
    <t>1460,9790</t>
  </si>
  <si>
    <t>Buslaev Daniil</t>
  </si>
  <si>
    <t>1221,5304</t>
  </si>
  <si>
    <t>819,7200</t>
  </si>
  <si>
    <t>810,0</t>
  </si>
  <si>
    <t>Gaydo Nadegda</t>
  </si>
  <si>
    <t>998,6584</t>
  </si>
  <si>
    <t>1072,5</t>
  </si>
  <si>
    <t>1006,6898</t>
  </si>
  <si>
    <t>907,5</t>
  </si>
  <si>
    <t>Sheveleva Inna</t>
  </si>
  <si>
    <t>1040,2810</t>
  </si>
  <si>
    <t>935,0</t>
  </si>
  <si>
    <t>1113,7425</t>
  </si>
  <si>
    <t>975,0</t>
  </si>
  <si>
    <t>1166,8090</t>
  </si>
  <si>
    <t>1330,0</t>
  </si>
  <si>
    <t>Gavrilina Tatiyana</t>
  </si>
  <si>
    <t>1202,8800</t>
  </si>
  <si>
    <t>69,90</t>
  </si>
  <si>
    <t>Teen 13-15 (03.05.2002)/14</t>
  </si>
  <si>
    <t>27,5</t>
  </si>
  <si>
    <t>22,5</t>
  </si>
  <si>
    <t>41,90</t>
  </si>
  <si>
    <t>Teen 13-15 (07.09.2002)/14</t>
  </si>
  <si>
    <t>Open (15.10.1982)/34</t>
  </si>
  <si>
    <t>64,60</t>
  </si>
  <si>
    <t>59,00</t>
  </si>
  <si>
    <t>Masters 40-44 (23.01.1972)/44</t>
  </si>
  <si>
    <t>Odintsovo/Moskovskaya oblast</t>
  </si>
  <si>
    <t>Open (19.07.1989)/27</t>
  </si>
  <si>
    <t>51,90</t>
  </si>
  <si>
    <t>Open (04.07.1986)/30</t>
  </si>
  <si>
    <t>World Championship AWPC national benchpress 1 body weight
10-14.08.2016</t>
  </si>
  <si>
    <t>World Championship WPC national benchpress 1 body weight
10-14.08.2016</t>
  </si>
  <si>
    <t>World Championship WPC national benchpress 1/2 body weight
10-14.08.2016</t>
  </si>
  <si>
    <t>World Championship AWPC national benchpress 1/2 body weight
10-14.08.2016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</si>
</sst>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5" xfId="0" applyNumberFormat="1" applyBorder="1"/>
    <xf numFmtId="49" fontId="8" fillId="0" borderId="15" xfId="0" applyNumberFormat="1" applyFont="1" applyBorder="1"/>
    <xf numFmtId="49" fontId="7" fillId="0" borderId="0" xfId="0" applyNumberFormat="1" applyFont="1" applyAlignment="1">
      <alignment horizontal="center"/>
    </xf>
    <xf numFmtId="49" fontId="0" fillId="0" borderId="12" xfId="0" applyNumberFormat="1" applyBorder="1"/>
    <xf numFmtId="49" fontId="8" fillId="0" borderId="12" xfId="0" applyNumberFormat="1" applyFont="1" applyBorder="1"/>
    <xf numFmtId="49" fontId="0" fillId="0" borderId="16" xfId="0" applyNumberFormat="1" applyBorder="1"/>
    <xf numFmtId="49" fontId="8" fillId="0" borderId="16" xfId="0" applyNumberFormat="1" applyFont="1" applyBorder="1"/>
    <xf numFmtId="49" fontId="0" fillId="0" borderId="17" xfId="0" applyNumberFormat="1" applyBorder="1"/>
    <xf numFmtId="49" fontId="8" fillId="0" borderId="17" xfId="0" applyNumberFormat="1" applyFont="1" applyBorder="1"/>
    <xf numFmtId="49" fontId="5" fillId="0" borderId="0" xfId="0" applyNumberFormat="1" applyFont="1" applyAlignment="1">
      <alignment horizontal="left"/>
    </xf>
    <xf numFmtId="49" fontId="10" fillId="0" borderId="0" xfId="0" applyNumberFormat="1" applyFont="1"/>
    <xf numFmtId="49" fontId="7" fillId="0" borderId="0" xfId="0" applyNumberFormat="1" applyFont="1"/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/>
    <xf numFmtId="49" fontId="3" fillId="0" borderId="15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sqref="A1:M2"/>
    </sheetView>
  </sheetViews>
  <sheetFormatPr defaultRowHeight="12.75"/>
  <cols>
    <col min="1" max="1" width="27.42578125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20.140625" style="55" bestFit="1" customWidth="1"/>
    <col min="7" max="9" width="5.5703125" style="55" bestFit="1" customWidth="1"/>
    <col min="10" max="10" width="4.85546875" style="55" bestFit="1" customWidth="1"/>
    <col min="11" max="11" width="6.7109375" style="55" bestFit="1" customWidth="1"/>
    <col min="12" max="12" width="8.5703125" style="55" bestFit="1" customWidth="1"/>
    <col min="13" max="13" width="14.7109375" style="55" bestFit="1" customWidth="1"/>
  </cols>
  <sheetData>
    <row r="1" spans="1:13" s="1" customFormat="1" ht="15" customHeight="1">
      <c r="A1" s="27" t="s">
        <v>2346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6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759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1110</v>
      </c>
      <c r="B6" s="56" t="s">
        <v>1111</v>
      </c>
      <c r="C6" s="56" t="s">
        <v>1258</v>
      </c>
      <c r="D6" s="56" t="str">
        <f>"1,2580"</f>
        <v>1,2580</v>
      </c>
      <c r="E6" s="56" t="s">
        <v>120</v>
      </c>
      <c r="F6" s="56" t="s">
        <v>153</v>
      </c>
      <c r="G6" s="56" t="s">
        <v>122</v>
      </c>
      <c r="H6" s="57" t="s">
        <v>160</v>
      </c>
      <c r="I6" s="57" t="s">
        <v>160</v>
      </c>
      <c r="J6" s="57"/>
      <c r="K6" s="56">
        <v>102.5</v>
      </c>
      <c r="L6" s="56" t="str">
        <f>"128,9450"</f>
        <v>128,9450</v>
      </c>
      <c r="M6" s="56" t="s">
        <v>1115</v>
      </c>
    </row>
    <row r="8" spans="1:13" ht="15">
      <c r="A8" s="58" t="s">
        <v>455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1119</v>
      </c>
      <c r="B9" s="56" t="s">
        <v>1120</v>
      </c>
      <c r="C9" s="56" t="s">
        <v>1118</v>
      </c>
      <c r="D9" s="56" t="str">
        <f>"1,1790"</f>
        <v>1,1790</v>
      </c>
      <c r="E9" s="56" t="s">
        <v>120</v>
      </c>
      <c r="F9" s="56" t="s">
        <v>153</v>
      </c>
      <c r="G9" s="56" t="s">
        <v>173</v>
      </c>
      <c r="H9" s="56" t="s">
        <v>1943</v>
      </c>
      <c r="I9" s="57" t="s">
        <v>19</v>
      </c>
      <c r="J9" s="57"/>
      <c r="K9" s="56">
        <v>140</v>
      </c>
      <c r="L9" s="56" t="str">
        <f>"165,0600"</f>
        <v>165,0600</v>
      </c>
      <c r="M9" s="56"/>
    </row>
    <row r="11" spans="1:13" ht="15">
      <c r="A11" s="58" t="s">
        <v>189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>
      <c r="A12" s="56" t="s">
        <v>1228</v>
      </c>
      <c r="B12" s="56" t="s">
        <v>1229</v>
      </c>
      <c r="C12" s="56" t="s">
        <v>2337</v>
      </c>
      <c r="D12" s="56" t="str">
        <f>"0,7132"</f>
        <v>0,7132</v>
      </c>
      <c r="E12" s="56" t="s">
        <v>269</v>
      </c>
      <c r="F12" s="56" t="s">
        <v>164</v>
      </c>
      <c r="G12" s="56" t="s">
        <v>44</v>
      </c>
      <c r="H12" s="57" t="s">
        <v>211</v>
      </c>
      <c r="I12" s="56" t="s">
        <v>211</v>
      </c>
      <c r="J12" s="57"/>
      <c r="K12" s="56">
        <v>225</v>
      </c>
      <c r="L12" s="56" t="str">
        <f>"160,4812"</f>
        <v>160,4812</v>
      </c>
      <c r="M12" s="56"/>
    </row>
    <row r="14" spans="1:13" ht="15">
      <c r="A14" s="58" t="s">
        <v>13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>
      <c r="A15" s="56" t="s">
        <v>863</v>
      </c>
      <c r="B15" s="56" t="s">
        <v>864</v>
      </c>
      <c r="C15" s="56" t="s">
        <v>891</v>
      </c>
      <c r="D15" s="56" t="str">
        <f>"0,6461"</f>
        <v>0,6461</v>
      </c>
      <c r="E15" s="56" t="s">
        <v>269</v>
      </c>
      <c r="F15" s="56" t="s">
        <v>164</v>
      </c>
      <c r="G15" s="56" t="s">
        <v>31</v>
      </c>
      <c r="H15" s="56" t="s">
        <v>36</v>
      </c>
      <c r="I15" s="57" t="s">
        <v>66</v>
      </c>
      <c r="J15" s="57"/>
      <c r="K15" s="56">
        <v>240</v>
      </c>
      <c r="L15" s="56" t="str">
        <f>"155,0760"</f>
        <v>155,0760</v>
      </c>
      <c r="M15" s="56"/>
    </row>
    <row r="17" spans="1:13" ht="15">
      <c r="A17" s="58" t="s">
        <v>25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>
      <c r="A18" s="59" t="s">
        <v>1231</v>
      </c>
      <c r="B18" s="59" t="s">
        <v>1232</v>
      </c>
      <c r="C18" s="59" t="s">
        <v>1238</v>
      </c>
      <c r="D18" s="59" t="str">
        <f>"0,6263"</f>
        <v>0,6263</v>
      </c>
      <c r="E18" s="59" t="s">
        <v>269</v>
      </c>
      <c r="F18" s="59" t="s">
        <v>164</v>
      </c>
      <c r="G18" s="59" t="s">
        <v>35</v>
      </c>
      <c r="H18" s="59" t="s">
        <v>720</v>
      </c>
      <c r="I18" s="60" t="s">
        <v>751</v>
      </c>
      <c r="J18" s="60"/>
      <c r="K18" s="59">
        <v>252.5</v>
      </c>
      <c r="L18" s="59" t="str">
        <f>"158,1534"</f>
        <v>158,1534</v>
      </c>
      <c r="M18" s="59"/>
    </row>
    <row r="19" spans="1:13">
      <c r="A19" s="61" t="s">
        <v>2190</v>
      </c>
      <c r="B19" s="61" t="s">
        <v>2191</v>
      </c>
      <c r="C19" s="61" t="s">
        <v>1554</v>
      </c>
      <c r="D19" s="61" t="str">
        <f>"0,7642"</f>
        <v>0,7642</v>
      </c>
      <c r="E19" s="61" t="s">
        <v>17</v>
      </c>
      <c r="F19" s="61" t="s">
        <v>1353</v>
      </c>
      <c r="G19" s="61" t="s">
        <v>21</v>
      </c>
      <c r="H19" s="61" t="s">
        <v>188</v>
      </c>
      <c r="I19" s="62" t="s">
        <v>565</v>
      </c>
      <c r="J19" s="62"/>
      <c r="K19" s="61">
        <v>195</v>
      </c>
      <c r="L19" s="61" t="str">
        <f>"149,0256"</f>
        <v>149,0256</v>
      </c>
      <c r="M19" s="61"/>
    </row>
    <row r="21" spans="1:13" ht="15">
      <c r="A21" s="58" t="s">
        <v>47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3">
      <c r="A22" s="56" t="s">
        <v>237</v>
      </c>
      <c r="B22" s="56" t="s">
        <v>238</v>
      </c>
      <c r="C22" s="56" t="s">
        <v>2338</v>
      </c>
      <c r="D22" s="56" t="str">
        <f>"0,5943"</f>
        <v>0,5943</v>
      </c>
      <c r="E22" s="56" t="s">
        <v>17</v>
      </c>
      <c r="F22" s="56" t="s">
        <v>153</v>
      </c>
      <c r="G22" s="56" t="s">
        <v>73</v>
      </c>
      <c r="H22" s="57"/>
      <c r="I22" s="57"/>
      <c r="J22" s="57"/>
      <c r="K22" s="56">
        <v>300</v>
      </c>
      <c r="L22" s="56" t="str">
        <f>"178,2900"</f>
        <v>178,2900</v>
      </c>
      <c r="M22" s="56"/>
    </row>
    <row r="24" spans="1:13" ht="15">
      <c r="E24" s="65" t="s">
        <v>84</v>
      </c>
    </row>
    <row r="25" spans="1:13" ht="15">
      <c r="E25" s="65" t="s">
        <v>85</v>
      </c>
    </row>
    <row r="26" spans="1:13" ht="15">
      <c r="E26" s="65" t="s">
        <v>86</v>
      </c>
    </row>
    <row r="27" spans="1:13">
      <c r="E27" s="55" t="s">
        <v>87</v>
      </c>
    </row>
    <row r="28" spans="1:13">
      <c r="E28" s="55" t="s">
        <v>88</v>
      </c>
    </row>
    <row r="29" spans="1:13">
      <c r="E29" s="55" t="s">
        <v>89</v>
      </c>
    </row>
    <row r="32" spans="1:13" ht="18">
      <c r="A32" s="66" t="s">
        <v>90</v>
      </c>
      <c r="B32" s="66"/>
    </row>
    <row r="33" spans="1:5" ht="15">
      <c r="A33" s="67" t="s">
        <v>284</v>
      </c>
      <c r="B33" s="67"/>
    </row>
    <row r="34" spans="1:5" ht="14.25">
      <c r="A34" s="69" t="s">
        <v>92</v>
      </c>
      <c r="B34" s="70"/>
    </row>
    <row r="35" spans="1:5" ht="15">
      <c r="A35" s="71" t="s">
        <v>0</v>
      </c>
      <c r="B35" s="71" t="s">
        <v>93</v>
      </c>
      <c r="C35" s="71" t="s">
        <v>94</v>
      </c>
      <c r="D35" s="71" t="s">
        <v>7</v>
      </c>
      <c r="E35" s="71" t="s">
        <v>95</v>
      </c>
    </row>
    <row r="36" spans="1:5">
      <c r="A36" s="68" t="s">
        <v>1110</v>
      </c>
      <c r="B36" s="55" t="s">
        <v>96</v>
      </c>
      <c r="C36" s="55" t="s">
        <v>1008</v>
      </c>
      <c r="D36" s="55" t="s">
        <v>122</v>
      </c>
      <c r="E36" s="72" t="s">
        <v>2339</v>
      </c>
    </row>
    <row r="38" spans="1:5" ht="14.25">
      <c r="A38" s="69" t="s">
        <v>100</v>
      </c>
      <c r="B38" s="70"/>
    </row>
    <row r="39" spans="1:5" ht="15">
      <c r="A39" s="71" t="s">
        <v>0</v>
      </c>
      <c r="B39" s="71" t="s">
        <v>93</v>
      </c>
      <c r="C39" s="71" t="s">
        <v>94</v>
      </c>
      <c r="D39" s="71" t="s">
        <v>7</v>
      </c>
      <c r="E39" s="71" t="s">
        <v>95</v>
      </c>
    </row>
    <row r="40" spans="1:5">
      <c r="A40" s="68" t="s">
        <v>1119</v>
      </c>
      <c r="B40" s="55" t="s">
        <v>100</v>
      </c>
      <c r="C40" s="55" t="s">
        <v>626</v>
      </c>
      <c r="D40" s="55" t="s">
        <v>32</v>
      </c>
      <c r="E40" s="72" t="s">
        <v>2340</v>
      </c>
    </row>
    <row r="43" spans="1:5" ht="15">
      <c r="A43" s="67" t="s">
        <v>91</v>
      </c>
      <c r="B43" s="67"/>
    </row>
    <row r="44" spans="1:5" ht="14.25">
      <c r="A44" s="69" t="s">
        <v>92</v>
      </c>
      <c r="B44" s="70"/>
    </row>
    <row r="45" spans="1:5" ht="15">
      <c r="A45" s="71" t="s">
        <v>0</v>
      </c>
      <c r="B45" s="71" t="s">
        <v>93</v>
      </c>
      <c r="C45" s="71" t="s">
        <v>94</v>
      </c>
      <c r="D45" s="71" t="s">
        <v>7</v>
      </c>
      <c r="E45" s="71" t="s">
        <v>95</v>
      </c>
    </row>
    <row r="46" spans="1:5">
      <c r="A46" s="68" t="s">
        <v>1231</v>
      </c>
      <c r="B46" s="55" t="s">
        <v>96</v>
      </c>
      <c r="C46" s="55" t="s">
        <v>111</v>
      </c>
      <c r="D46" s="55" t="s">
        <v>720</v>
      </c>
      <c r="E46" s="72" t="s">
        <v>2341</v>
      </c>
    </row>
    <row r="47" spans="1:5">
      <c r="A47" s="68" t="s">
        <v>863</v>
      </c>
      <c r="B47" s="55" t="s">
        <v>96</v>
      </c>
      <c r="C47" s="55" t="s">
        <v>97</v>
      </c>
      <c r="D47" s="55" t="s">
        <v>36</v>
      </c>
      <c r="E47" s="72" t="s">
        <v>2342</v>
      </c>
    </row>
    <row r="49" spans="1:5" ht="14.25">
      <c r="A49" s="69" t="s">
        <v>100</v>
      </c>
      <c r="B49" s="70"/>
    </row>
    <row r="50" spans="1:5" ht="15">
      <c r="A50" s="71" t="s">
        <v>0</v>
      </c>
      <c r="B50" s="71" t="s">
        <v>93</v>
      </c>
      <c r="C50" s="71" t="s">
        <v>94</v>
      </c>
      <c r="D50" s="71" t="s">
        <v>7</v>
      </c>
      <c r="E50" s="71" t="s">
        <v>95</v>
      </c>
    </row>
    <row r="51" spans="1:5">
      <c r="A51" s="68" t="s">
        <v>237</v>
      </c>
      <c r="B51" s="55" t="s">
        <v>100</v>
      </c>
      <c r="C51" s="55" t="s">
        <v>104</v>
      </c>
      <c r="D51" s="55" t="s">
        <v>73</v>
      </c>
      <c r="E51" s="72" t="s">
        <v>2343</v>
      </c>
    </row>
    <row r="52" spans="1:5">
      <c r="A52" s="68" t="s">
        <v>1228</v>
      </c>
      <c r="B52" s="55" t="s">
        <v>100</v>
      </c>
      <c r="C52" s="55" t="s">
        <v>310</v>
      </c>
      <c r="D52" s="55" t="s">
        <v>211</v>
      </c>
      <c r="E52" s="72" t="s">
        <v>2344</v>
      </c>
    </row>
    <row r="54" spans="1:5" ht="14.25">
      <c r="A54" s="69" t="s">
        <v>297</v>
      </c>
      <c r="B54" s="70"/>
    </row>
    <row r="55" spans="1:5" ht="15">
      <c r="A55" s="71" t="s">
        <v>0</v>
      </c>
      <c r="B55" s="71" t="s">
        <v>93</v>
      </c>
      <c r="C55" s="71" t="s">
        <v>94</v>
      </c>
      <c r="D55" s="71" t="s">
        <v>7</v>
      </c>
      <c r="E55" s="71" t="s">
        <v>95</v>
      </c>
    </row>
    <row r="56" spans="1:5">
      <c r="A56" s="68" t="s">
        <v>2190</v>
      </c>
      <c r="B56" s="55" t="s">
        <v>659</v>
      </c>
      <c r="C56" s="55" t="s">
        <v>111</v>
      </c>
      <c r="D56" s="55" t="s">
        <v>188</v>
      </c>
      <c r="E56" s="72" t="s">
        <v>2345</v>
      </c>
    </row>
  </sheetData>
  <mergeCells count="17">
    <mergeCell ref="A14:L14"/>
    <mergeCell ref="A17:L17"/>
    <mergeCell ref="A21:L21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"/>
  <sheetViews>
    <sheetView workbookViewId="0">
      <selection activeCell="A3" sqref="A3:A4"/>
    </sheetView>
  </sheetViews>
  <sheetFormatPr defaultRowHeight="12.75"/>
  <cols>
    <col min="1" max="1" width="27.42578125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1.42578125" style="55" bestFit="1" customWidth="1"/>
    <col min="7" max="9" width="5.5703125" style="55" bestFit="1" customWidth="1"/>
    <col min="10" max="10" width="4.85546875" style="55" bestFit="1" customWidth="1"/>
    <col min="11" max="13" width="5.5703125" style="55" bestFit="1" customWidth="1"/>
    <col min="14" max="14" width="4.85546875" style="55" bestFit="1" customWidth="1"/>
    <col min="15" max="18" width="5.5703125" style="55" bestFit="1" customWidth="1"/>
    <col min="19" max="19" width="6.7109375" style="55" bestFit="1" customWidth="1"/>
    <col min="20" max="20" width="8.5703125" style="55" bestFit="1" customWidth="1"/>
    <col min="21" max="21" width="18.5703125" style="55" bestFit="1" customWidth="1"/>
  </cols>
  <sheetData>
    <row r="1" spans="1:21" s="1" customFormat="1" ht="15" customHeight="1">
      <c r="A1" s="27" t="s">
        <v>2355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143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6" t="s">
        <v>1221</v>
      </c>
      <c r="B6" s="56" t="s">
        <v>1222</v>
      </c>
      <c r="C6" s="56" t="s">
        <v>1139</v>
      </c>
      <c r="D6" s="56" t="str">
        <f>"0,9007"</f>
        <v>0,9007</v>
      </c>
      <c r="E6" s="56" t="s">
        <v>17</v>
      </c>
      <c r="F6" s="56" t="s">
        <v>153</v>
      </c>
      <c r="G6" s="57"/>
      <c r="H6" s="57"/>
      <c r="I6" s="57"/>
      <c r="J6" s="57"/>
      <c r="K6" s="57" t="s">
        <v>136</v>
      </c>
      <c r="L6" s="57"/>
      <c r="M6" s="57"/>
      <c r="N6" s="57"/>
      <c r="O6" s="57" t="s">
        <v>21</v>
      </c>
      <c r="P6" s="57"/>
      <c r="Q6" s="57"/>
      <c r="R6" s="57"/>
      <c r="S6" s="56">
        <v>0</v>
      </c>
      <c r="T6" s="56" t="str">
        <f>"0,0000"</f>
        <v>0,0000</v>
      </c>
      <c r="U6" s="56" t="s">
        <v>1115</v>
      </c>
    </row>
    <row r="8" spans="1:21" ht="15">
      <c r="A8" s="58" t="s">
        <v>143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1">
      <c r="A9" s="56" t="s">
        <v>1223</v>
      </c>
      <c r="B9" s="56" t="s">
        <v>1224</v>
      </c>
      <c r="C9" s="56" t="s">
        <v>1225</v>
      </c>
      <c r="D9" s="56" t="str">
        <f>"0,7702"</f>
        <v>0,7702</v>
      </c>
      <c r="E9" s="56" t="s">
        <v>17</v>
      </c>
      <c r="F9" s="56" t="s">
        <v>441</v>
      </c>
      <c r="G9" s="56" t="s">
        <v>31</v>
      </c>
      <c r="H9" s="56" t="s">
        <v>36</v>
      </c>
      <c r="I9" s="57" t="s">
        <v>1226</v>
      </c>
      <c r="J9" s="57"/>
      <c r="K9" s="56" t="s">
        <v>173</v>
      </c>
      <c r="L9" s="57" t="s">
        <v>32</v>
      </c>
      <c r="M9" s="56" t="s">
        <v>32</v>
      </c>
      <c r="N9" s="57"/>
      <c r="O9" s="56" t="s">
        <v>31</v>
      </c>
      <c r="P9" s="57" t="s">
        <v>52</v>
      </c>
      <c r="Q9" s="56" t="s">
        <v>52</v>
      </c>
      <c r="R9" s="56" t="s">
        <v>36</v>
      </c>
      <c r="S9" s="56">
        <v>610</v>
      </c>
      <c r="T9" s="56" t="str">
        <f>"469,7915"</f>
        <v>469,7915</v>
      </c>
      <c r="U9" s="56"/>
    </row>
    <row r="11" spans="1:21" ht="15">
      <c r="A11" s="58" t="s">
        <v>189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1">
      <c r="A12" s="59" t="s">
        <v>190</v>
      </c>
      <c r="B12" s="59" t="s">
        <v>191</v>
      </c>
      <c r="C12" s="59" t="s">
        <v>1227</v>
      </c>
      <c r="D12" s="59" t="str">
        <f>"0,6934"</f>
        <v>0,6934</v>
      </c>
      <c r="E12" s="59" t="s">
        <v>17</v>
      </c>
      <c r="F12" s="59" t="s">
        <v>193</v>
      </c>
      <c r="G12" s="59" t="s">
        <v>751</v>
      </c>
      <c r="H12" s="59" t="s">
        <v>56</v>
      </c>
      <c r="I12" s="59" t="s">
        <v>278</v>
      </c>
      <c r="J12" s="60"/>
      <c r="K12" s="59" t="s">
        <v>211</v>
      </c>
      <c r="L12" s="60" t="s">
        <v>36</v>
      </c>
      <c r="M12" s="59" t="s">
        <v>36</v>
      </c>
      <c r="N12" s="60"/>
      <c r="O12" s="59" t="s">
        <v>36</v>
      </c>
      <c r="P12" s="59" t="s">
        <v>236</v>
      </c>
      <c r="Q12" s="60"/>
      <c r="R12" s="60"/>
      <c r="S12" s="59">
        <v>785</v>
      </c>
      <c r="T12" s="59" t="str">
        <f>"544,2798"</f>
        <v>544,2798</v>
      </c>
      <c r="U12" s="59" t="s">
        <v>196</v>
      </c>
    </row>
    <row r="13" spans="1:21">
      <c r="A13" s="61" t="s">
        <v>1228</v>
      </c>
      <c r="B13" s="61" t="s">
        <v>1229</v>
      </c>
      <c r="C13" s="61" t="s">
        <v>1230</v>
      </c>
      <c r="D13" s="61" t="str">
        <f>"0,7042"</f>
        <v>0,7042</v>
      </c>
      <c r="E13" s="61" t="s">
        <v>269</v>
      </c>
      <c r="F13" s="61" t="s">
        <v>164</v>
      </c>
      <c r="G13" s="61" t="s">
        <v>52</v>
      </c>
      <c r="H13" s="61" t="s">
        <v>53</v>
      </c>
      <c r="I13" s="61" t="s">
        <v>1170</v>
      </c>
      <c r="J13" s="62"/>
      <c r="K13" s="61" t="s">
        <v>235</v>
      </c>
      <c r="L13" s="61" t="s">
        <v>21</v>
      </c>
      <c r="M13" s="62" t="s">
        <v>83</v>
      </c>
      <c r="N13" s="62"/>
      <c r="O13" s="61" t="s">
        <v>378</v>
      </c>
      <c r="P13" s="61" t="s">
        <v>31</v>
      </c>
      <c r="Q13" s="62" t="s">
        <v>52</v>
      </c>
      <c r="R13" s="62"/>
      <c r="S13" s="61">
        <v>657.5</v>
      </c>
      <c r="T13" s="61" t="str">
        <f>"462,9786"</f>
        <v>462,9786</v>
      </c>
      <c r="U13" s="61"/>
    </row>
    <row r="15" spans="1:21" ht="15">
      <c r="A15" s="58" t="s">
        <v>25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1">
      <c r="A16" s="59" t="s">
        <v>1231</v>
      </c>
      <c r="B16" s="59" t="s">
        <v>1232</v>
      </c>
      <c r="C16" s="59" t="s">
        <v>1233</v>
      </c>
      <c r="D16" s="59" t="str">
        <f>"0,6313"</f>
        <v>0,6313</v>
      </c>
      <c r="E16" s="59" t="s">
        <v>269</v>
      </c>
      <c r="F16" s="59" t="s">
        <v>164</v>
      </c>
      <c r="G16" s="59" t="s">
        <v>55</v>
      </c>
      <c r="H16" s="59" t="s">
        <v>241</v>
      </c>
      <c r="I16" s="60" t="s">
        <v>73</v>
      </c>
      <c r="J16" s="60"/>
      <c r="K16" s="59" t="s">
        <v>265</v>
      </c>
      <c r="L16" s="59" t="s">
        <v>42</v>
      </c>
      <c r="M16" s="59" t="s">
        <v>54</v>
      </c>
      <c r="N16" s="60"/>
      <c r="O16" s="59" t="s">
        <v>52</v>
      </c>
      <c r="P16" s="59" t="s">
        <v>66</v>
      </c>
      <c r="Q16" s="60" t="s">
        <v>876</v>
      </c>
      <c r="R16" s="60"/>
      <c r="S16" s="59">
        <v>707.5</v>
      </c>
      <c r="T16" s="59" t="str">
        <f>"446,6094"</f>
        <v>446,6094</v>
      </c>
      <c r="U16" s="59"/>
    </row>
    <row r="17" spans="1:21">
      <c r="A17" s="63" t="s">
        <v>1234</v>
      </c>
      <c r="B17" s="63" t="s">
        <v>1235</v>
      </c>
      <c r="C17" s="63" t="s">
        <v>913</v>
      </c>
      <c r="D17" s="63" t="str">
        <f>"0,6137"</f>
        <v>0,6137</v>
      </c>
      <c r="E17" s="63" t="s">
        <v>532</v>
      </c>
      <c r="F17" s="63" t="s">
        <v>533</v>
      </c>
      <c r="G17" s="64" t="s">
        <v>291</v>
      </c>
      <c r="H17" s="63" t="s">
        <v>291</v>
      </c>
      <c r="I17" s="64" t="s">
        <v>1176</v>
      </c>
      <c r="J17" s="64"/>
      <c r="K17" s="63" t="s">
        <v>20</v>
      </c>
      <c r="L17" s="63" t="s">
        <v>179</v>
      </c>
      <c r="M17" s="63" t="s">
        <v>54</v>
      </c>
      <c r="N17" s="64"/>
      <c r="O17" s="63" t="s">
        <v>35</v>
      </c>
      <c r="P17" s="63" t="s">
        <v>36</v>
      </c>
      <c r="Q17" s="63" t="s">
        <v>236</v>
      </c>
      <c r="R17" s="64"/>
      <c r="S17" s="63">
        <v>725</v>
      </c>
      <c r="T17" s="63" t="str">
        <f>"444,9687"</f>
        <v>444,9687</v>
      </c>
      <c r="U17" s="63"/>
    </row>
    <row r="18" spans="1:21">
      <c r="A18" s="63" t="s">
        <v>1236</v>
      </c>
      <c r="B18" s="63" t="s">
        <v>1237</v>
      </c>
      <c r="C18" s="63" t="s">
        <v>1238</v>
      </c>
      <c r="D18" s="63" t="str">
        <f>"0,6263"</f>
        <v>0,6263</v>
      </c>
      <c r="E18" s="63" t="s">
        <v>17</v>
      </c>
      <c r="F18" s="63" t="s">
        <v>51</v>
      </c>
      <c r="G18" s="63" t="s">
        <v>36</v>
      </c>
      <c r="H18" s="63" t="s">
        <v>66</v>
      </c>
      <c r="I18" s="63" t="s">
        <v>207</v>
      </c>
      <c r="J18" s="64"/>
      <c r="K18" s="63" t="s">
        <v>83</v>
      </c>
      <c r="L18" s="63" t="s">
        <v>188</v>
      </c>
      <c r="M18" s="63" t="s">
        <v>30</v>
      </c>
      <c r="N18" s="64"/>
      <c r="O18" s="63" t="s">
        <v>61</v>
      </c>
      <c r="P18" s="63" t="s">
        <v>31</v>
      </c>
      <c r="Q18" s="63" t="s">
        <v>52</v>
      </c>
      <c r="R18" s="64"/>
      <c r="S18" s="63">
        <v>690</v>
      </c>
      <c r="T18" s="63" t="str">
        <f>"432,1815"</f>
        <v>432,1815</v>
      </c>
      <c r="U18" s="63"/>
    </row>
    <row r="19" spans="1:21">
      <c r="A19" s="63" t="s">
        <v>1239</v>
      </c>
      <c r="B19" s="63" t="s">
        <v>1240</v>
      </c>
      <c r="C19" s="63" t="s">
        <v>1241</v>
      </c>
      <c r="D19" s="63" t="str">
        <f>"0,6217"</f>
        <v>0,6217</v>
      </c>
      <c r="E19" s="63" t="s">
        <v>269</v>
      </c>
      <c r="F19" s="63" t="s">
        <v>164</v>
      </c>
      <c r="G19" s="63" t="s">
        <v>36</v>
      </c>
      <c r="H19" s="64" t="s">
        <v>720</v>
      </c>
      <c r="I19" s="64"/>
      <c r="J19" s="64"/>
      <c r="K19" s="63" t="s">
        <v>33</v>
      </c>
      <c r="L19" s="64" t="s">
        <v>21</v>
      </c>
      <c r="M19" s="64"/>
      <c r="N19" s="64"/>
      <c r="O19" s="63" t="s">
        <v>30</v>
      </c>
      <c r="P19" s="64" t="s">
        <v>35</v>
      </c>
      <c r="Q19" s="64" t="s">
        <v>445</v>
      </c>
      <c r="R19" s="64"/>
      <c r="S19" s="63">
        <v>590</v>
      </c>
      <c r="T19" s="63" t="str">
        <f>"366,8325"</f>
        <v>366,8325</v>
      </c>
      <c r="U19" s="63"/>
    </row>
    <row r="20" spans="1:21">
      <c r="A20" s="61" t="s">
        <v>1236</v>
      </c>
      <c r="B20" s="61" t="s">
        <v>1242</v>
      </c>
      <c r="C20" s="61" t="s">
        <v>1238</v>
      </c>
      <c r="D20" s="61" t="str">
        <f>"0,6263"</f>
        <v>0,6263</v>
      </c>
      <c r="E20" s="61" t="s">
        <v>17</v>
      </c>
      <c r="F20" s="61" t="s">
        <v>51</v>
      </c>
      <c r="G20" s="61" t="s">
        <v>36</v>
      </c>
      <c r="H20" s="61" t="s">
        <v>66</v>
      </c>
      <c r="I20" s="61" t="s">
        <v>207</v>
      </c>
      <c r="J20" s="62"/>
      <c r="K20" s="61" t="s">
        <v>83</v>
      </c>
      <c r="L20" s="61" t="s">
        <v>188</v>
      </c>
      <c r="M20" s="61" t="s">
        <v>30</v>
      </c>
      <c r="N20" s="62"/>
      <c r="O20" s="61" t="s">
        <v>61</v>
      </c>
      <c r="P20" s="61" t="s">
        <v>31</v>
      </c>
      <c r="Q20" s="61" t="s">
        <v>52</v>
      </c>
      <c r="R20" s="62"/>
      <c r="S20" s="61">
        <v>690</v>
      </c>
      <c r="T20" s="61" t="str">
        <f>"432,1815"</f>
        <v>432,1815</v>
      </c>
      <c r="U20" s="61"/>
    </row>
    <row r="22" spans="1:21" ht="15">
      <c r="A22" s="58" t="s">
        <v>271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1">
      <c r="A23" s="59" t="s">
        <v>1243</v>
      </c>
      <c r="B23" s="59" t="s">
        <v>1244</v>
      </c>
      <c r="C23" s="59" t="s">
        <v>991</v>
      </c>
      <c r="D23" s="59" t="str">
        <f>"0,5490"</f>
        <v>0,5490</v>
      </c>
      <c r="E23" s="59" t="s">
        <v>17</v>
      </c>
      <c r="F23" s="59" t="s">
        <v>464</v>
      </c>
      <c r="G23" s="59" t="s">
        <v>76</v>
      </c>
      <c r="H23" s="59" t="s">
        <v>395</v>
      </c>
      <c r="I23" s="59" t="s">
        <v>1002</v>
      </c>
      <c r="J23" s="60"/>
      <c r="K23" s="60" t="s">
        <v>30</v>
      </c>
      <c r="L23" s="59" t="s">
        <v>30</v>
      </c>
      <c r="M23" s="59" t="s">
        <v>565</v>
      </c>
      <c r="N23" s="60"/>
      <c r="O23" s="60" t="s">
        <v>207</v>
      </c>
      <c r="P23" s="59" t="s">
        <v>751</v>
      </c>
      <c r="Q23" s="59" t="s">
        <v>445</v>
      </c>
      <c r="R23" s="60"/>
      <c r="S23" s="59">
        <v>805</v>
      </c>
      <c r="T23" s="59" t="str">
        <f>"441,9852"</f>
        <v>441,9852</v>
      </c>
      <c r="U23" s="59"/>
    </row>
    <row r="24" spans="1:21">
      <c r="A24" s="61" t="s">
        <v>1186</v>
      </c>
      <c r="B24" s="61" t="s">
        <v>1187</v>
      </c>
      <c r="C24" s="61" t="s">
        <v>594</v>
      </c>
      <c r="D24" s="61" t="str">
        <f>"0,5524"</f>
        <v>0,5524</v>
      </c>
      <c r="E24" s="61" t="s">
        <v>269</v>
      </c>
      <c r="F24" s="61" t="s">
        <v>164</v>
      </c>
      <c r="G24" s="62" t="s">
        <v>207</v>
      </c>
      <c r="H24" s="61" t="s">
        <v>207</v>
      </c>
      <c r="I24" s="62"/>
      <c r="J24" s="62"/>
      <c r="K24" s="61" t="s">
        <v>61</v>
      </c>
      <c r="L24" s="62" t="s">
        <v>211</v>
      </c>
      <c r="M24" s="61" t="s">
        <v>211</v>
      </c>
      <c r="N24" s="62"/>
      <c r="O24" s="61" t="s">
        <v>207</v>
      </c>
      <c r="P24" s="61" t="s">
        <v>445</v>
      </c>
      <c r="Q24" s="62" t="s">
        <v>73</v>
      </c>
      <c r="R24" s="62"/>
      <c r="S24" s="61">
        <v>760</v>
      </c>
      <c r="T24" s="61" t="str">
        <f>"419,8240"</f>
        <v>419,8240</v>
      </c>
      <c r="U24" s="61"/>
    </row>
    <row r="26" spans="1:21" ht="15">
      <c r="E26" s="65" t="s">
        <v>84</v>
      </c>
    </row>
    <row r="27" spans="1:21" ht="15">
      <c r="E27" s="65" t="s">
        <v>85</v>
      </c>
    </row>
    <row r="28" spans="1:21" ht="15">
      <c r="E28" s="65" t="s">
        <v>86</v>
      </c>
    </row>
    <row r="29" spans="1:21">
      <c r="E29" s="55" t="s">
        <v>87</v>
      </c>
    </row>
    <row r="30" spans="1:21">
      <c r="E30" s="55" t="s">
        <v>88</v>
      </c>
    </row>
    <row r="31" spans="1:21">
      <c r="E31" s="55" t="s">
        <v>89</v>
      </c>
    </row>
    <row r="34" spans="1:5" ht="18">
      <c r="A34" s="66" t="s">
        <v>90</v>
      </c>
      <c r="B34" s="66"/>
    </row>
    <row r="35" spans="1:5" ht="15">
      <c r="A35" s="67" t="s">
        <v>91</v>
      </c>
      <c r="B35" s="67"/>
    </row>
    <row r="36" spans="1:5" ht="14.25">
      <c r="A36" s="69" t="s">
        <v>92</v>
      </c>
      <c r="B36" s="70"/>
    </row>
    <row r="37" spans="1:5" ht="15">
      <c r="A37" s="71" t="s">
        <v>0</v>
      </c>
      <c r="B37" s="71" t="s">
        <v>93</v>
      </c>
      <c r="C37" s="71" t="s">
        <v>94</v>
      </c>
      <c r="D37" s="71" t="s">
        <v>7</v>
      </c>
      <c r="E37" s="71" t="s">
        <v>95</v>
      </c>
    </row>
    <row r="38" spans="1:5">
      <c r="A38" s="68" t="s">
        <v>1231</v>
      </c>
      <c r="B38" s="55" t="s">
        <v>96</v>
      </c>
      <c r="C38" s="55" t="s">
        <v>111</v>
      </c>
      <c r="D38" s="55" t="s">
        <v>1245</v>
      </c>
      <c r="E38" s="72" t="s">
        <v>1246</v>
      </c>
    </row>
    <row r="40" spans="1:5" ht="14.25">
      <c r="A40" s="69" t="s">
        <v>100</v>
      </c>
      <c r="B40" s="70"/>
    </row>
    <row r="41" spans="1:5" ht="15">
      <c r="A41" s="71" t="s">
        <v>0</v>
      </c>
      <c r="B41" s="71" t="s">
        <v>93</v>
      </c>
      <c r="C41" s="71" t="s">
        <v>94</v>
      </c>
      <c r="D41" s="71" t="s">
        <v>7</v>
      </c>
      <c r="E41" s="71" t="s">
        <v>95</v>
      </c>
    </row>
    <row r="42" spans="1:5">
      <c r="A42" s="68" t="s">
        <v>190</v>
      </c>
      <c r="B42" s="55" t="s">
        <v>100</v>
      </c>
      <c r="C42" s="55" t="s">
        <v>310</v>
      </c>
      <c r="D42" s="55" t="s">
        <v>425</v>
      </c>
      <c r="E42" s="72" t="s">
        <v>1247</v>
      </c>
    </row>
    <row r="43" spans="1:5">
      <c r="A43" s="68" t="s">
        <v>1223</v>
      </c>
      <c r="B43" s="55" t="s">
        <v>100</v>
      </c>
      <c r="C43" s="55" t="s">
        <v>293</v>
      </c>
      <c r="D43" s="55" t="s">
        <v>109</v>
      </c>
      <c r="E43" s="72" t="s">
        <v>1248</v>
      </c>
    </row>
    <row r="44" spans="1:5">
      <c r="A44" s="68" t="s">
        <v>1228</v>
      </c>
      <c r="B44" s="55" t="s">
        <v>100</v>
      </c>
      <c r="C44" s="55" t="s">
        <v>310</v>
      </c>
      <c r="D44" s="55" t="s">
        <v>1053</v>
      </c>
      <c r="E44" s="72" t="s">
        <v>1249</v>
      </c>
    </row>
    <row r="45" spans="1:5">
      <c r="A45" s="68" t="s">
        <v>1234</v>
      </c>
      <c r="B45" s="55" t="s">
        <v>100</v>
      </c>
      <c r="C45" s="55" t="s">
        <v>111</v>
      </c>
      <c r="D45" s="55" t="s">
        <v>317</v>
      </c>
      <c r="E45" s="72" t="s">
        <v>1250</v>
      </c>
    </row>
    <row r="46" spans="1:5">
      <c r="A46" s="68" t="s">
        <v>1243</v>
      </c>
      <c r="B46" s="55" t="s">
        <v>100</v>
      </c>
      <c r="C46" s="55" t="s">
        <v>304</v>
      </c>
      <c r="D46" s="55" t="s">
        <v>421</v>
      </c>
      <c r="E46" s="72" t="s">
        <v>1251</v>
      </c>
    </row>
    <row r="47" spans="1:5">
      <c r="A47" s="68" t="s">
        <v>1236</v>
      </c>
      <c r="B47" s="55" t="s">
        <v>100</v>
      </c>
      <c r="C47" s="55" t="s">
        <v>111</v>
      </c>
      <c r="D47" s="55" t="s">
        <v>448</v>
      </c>
      <c r="E47" s="72" t="s">
        <v>1252</v>
      </c>
    </row>
    <row r="48" spans="1:5">
      <c r="A48" s="68" t="s">
        <v>1186</v>
      </c>
      <c r="B48" s="55" t="s">
        <v>100</v>
      </c>
      <c r="C48" s="55" t="s">
        <v>304</v>
      </c>
      <c r="D48" s="55" t="s">
        <v>1253</v>
      </c>
      <c r="E48" s="72" t="s">
        <v>1254</v>
      </c>
    </row>
    <row r="49" spans="1:5">
      <c r="A49" s="68" t="s">
        <v>1239</v>
      </c>
      <c r="B49" s="55" t="s">
        <v>100</v>
      </c>
      <c r="C49" s="55" t="s">
        <v>111</v>
      </c>
      <c r="D49" s="55" t="s">
        <v>308</v>
      </c>
      <c r="E49" s="72" t="s">
        <v>1255</v>
      </c>
    </row>
    <row r="51" spans="1:5" ht="14.25">
      <c r="A51" s="69" t="s">
        <v>297</v>
      </c>
      <c r="B51" s="70"/>
    </row>
    <row r="52" spans="1:5" ht="15">
      <c r="A52" s="71" t="s">
        <v>0</v>
      </c>
      <c r="B52" s="71" t="s">
        <v>93</v>
      </c>
      <c r="C52" s="71" t="s">
        <v>94</v>
      </c>
      <c r="D52" s="71" t="s">
        <v>7</v>
      </c>
      <c r="E52" s="71" t="s">
        <v>95</v>
      </c>
    </row>
    <row r="53" spans="1:5">
      <c r="A53" s="68" t="s">
        <v>1236</v>
      </c>
      <c r="B53" s="55" t="s">
        <v>343</v>
      </c>
      <c r="C53" s="55" t="s">
        <v>111</v>
      </c>
      <c r="D53" s="55" t="s">
        <v>448</v>
      </c>
      <c r="E53" s="72" t="s">
        <v>1252</v>
      </c>
    </row>
  </sheetData>
  <mergeCells count="18">
    <mergeCell ref="A15:T15"/>
    <mergeCell ref="A22:T22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7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1.42578125" style="55" bestFit="1" customWidth="1"/>
    <col min="7" max="9" width="5.5703125" style="55" bestFit="1" customWidth="1"/>
    <col min="10" max="10" width="4.85546875" style="55" bestFit="1" customWidth="1"/>
    <col min="11" max="13" width="5.5703125" style="55" bestFit="1" customWidth="1"/>
    <col min="14" max="14" width="4.85546875" style="55" bestFit="1" customWidth="1"/>
    <col min="15" max="18" width="5.5703125" style="55" bestFit="1" customWidth="1"/>
    <col min="19" max="19" width="6.7109375" style="55" bestFit="1" customWidth="1"/>
    <col min="20" max="20" width="8.5703125" style="55" bestFit="1" customWidth="1"/>
    <col min="21" max="21" width="15.7109375" style="55" bestFit="1" customWidth="1"/>
  </cols>
  <sheetData>
    <row r="1" spans="1:21" s="1" customFormat="1" ht="15" customHeight="1">
      <c r="A1" s="27" t="s">
        <v>2347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759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9" t="s">
        <v>1106</v>
      </c>
      <c r="B6" s="59" t="s">
        <v>1107</v>
      </c>
      <c r="C6" s="59" t="s">
        <v>1108</v>
      </c>
      <c r="D6" s="59" t="str">
        <f>"1,2662"</f>
        <v>1,2662</v>
      </c>
      <c r="E6" s="59" t="s">
        <v>17</v>
      </c>
      <c r="F6" s="59" t="s">
        <v>1109</v>
      </c>
      <c r="G6" s="59" t="s">
        <v>22</v>
      </c>
      <c r="H6" s="59" t="s">
        <v>149</v>
      </c>
      <c r="I6" s="59" t="s">
        <v>173</v>
      </c>
      <c r="J6" s="60"/>
      <c r="K6" s="59" t="s">
        <v>141</v>
      </c>
      <c r="L6" s="59" t="s">
        <v>142</v>
      </c>
      <c r="M6" s="60" t="s">
        <v>794</v>
      </c>
      <c r="N6" s="60"/>
      <c r="O6" s="59" t="s">
        <v>160</v>
      </c>
      <c r="P6" s="59" t="s">
        <v>126</v>
      </c>
      <c r="Q6" s="60" t="s">
        <v>173</v>
      </c>
      <c r="R6" s="60"/>
      <c r="S6" s="59">
        <v>320</v>
      </c>
      <c r="T6" s="59" t="str">
        <f>"405,1840"</f>
        <v>405,1840</v>
      </c>
      <c r="U6" s="59"/>
    </row>
    <row r="7" spans="1:21">
      <c r="A7" s="61" t="s">
        <v>1110</v>
      </c>
      <c r="B7" s="61" t="s">
        <v>1111</v>
      </c>
      <c r="C7" s="61" t="s">
        <v>1112</v>
      </c>
      <c r="D7" s="61" t="str">
        <f>"1,2642"</f>
        <v>1,2642</v>
      </c>
      <c r="E7" s="61" t="s">
        <v>120</v>
      </c>
      <c r="F7" s="61" t="s">
        <v>153</v>
      </c>
      <c r="G7" s="62" t="s">
        <v>123</v>
      </c>
      <c r="H7" s="61" t="s">
        <v>123</v>
      </c>
      <c r="I7" s="62" t="s">
        <v>187</v>
      </c>
      <c r="J7" s="62"/>
      <c r="K7" s="61" t="s">
        <v>141</v>
      </c>
      <c r="L7" s="61" t="s">
        <v>142</v>
      </c>
      <c r="M7" s="62" t="s">
        <v>794</v>
      </c>
      <c r="N7" s="62"/>
      <c r="O7" s="61" t="s">
        <v>123</v>
      </c>
      <c r="P7" s="61" t="s">
        <v>1113</v>
      </c>
      <c r="Q7" s="62" t="s">
        <v>1114</v>
      </c>
      <c r="R7" s="62"/>
      <c r="S7" s="61">
        <v>287.5</v>
      </c>
      <c r="T7" s="61" t="str">
        <f>"363,4575"</f>
        <v>363,4575</v>
      </c>
      <c r="U7" s="61" t="s">
        <v>1115</v>
      </c>
    </row>
    <row r="9" spans="1:21" ht="15">
      <c r="A9" s="58" t="s">
        <v>455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>
      <c r="A10" s="59" t="s">
        <v>1116</v>
      </c>
      <c r="B10" s="59" t="s">
        <v>1117</v>
      </c>
      <c r="C10" s="59" t="s">
        <v>1118</v>
      </c>
      <c r="D10" s="59" t="str">
        <f>"1,1790"</f>
        <v>1,1790</v>
      </c>
      <c r="E10" s="59" t="s">
        <v>120</v>
      </c>
      <c r="F10" s="59" t="s">
        <v>153</v>
      </c>
      <c r="G10" s="59" t="s">
        <v>149</v>
      </c>
      <c r="H10" s="59" t="s">
        <v>126</v>
      </c>
      <c r="I10" s="59" t="s">
        <v>173</v>
      </c>
      <c r="J10" s="60"/>
      <c r="K10" s="59" t="s">
        <v>141</v>
      </c>
      <c r="L10" s="59" t="s">
        <v>482</v>
      </c>
      <c r="M10" s="60" t="s">
        <v>142</v>
      </c>
      <c r="N10" s="60"/>
      <c r="O10" s="59" t="s">
        <v>173</v>
      </c>
      <c r="P10" s="59" t="s">
        <v>32</v>
      </c>
      <c r="Q10" s="60" t="s">
        <v>883</v>
      </c>
      <c r="R10" s="60"/>
      <c r="S10" s="59">
        <v>332.5</v>
      </c>
      <c r="T10" s="59" t="str">
        <f>"392,0175"</f>
        <v>392,0175</v>
      </c>
      <c r="U10" s="59"/>
    </row>
    <row r="11" spans="1:21">
      <c r="A11" s="61" t="s">
        <v>1119</v>
      </c>
      <c r="B11" s="61" t="s">
        <v>1120</v>
      </c>
      <c r="C11" s="61" t="s">
        <v>1121</v>
      </c>
      <c r="D11" s="61" t="str">
        <f>"1,1809"</f>
        <v>1,1809</v>
      </c>
      <c r="E11" s="61" t="s">
        <v>120</v>
      </c>
      <c r="F11" s="61" t="s">
        <v>153</v>
      </c>
      <c r="G11" s="61" t="s">
        <v>149</v>
      </c>
      <c r="H11" s="61" t="s">
        <v>817</v>
      </c>
      <c r="I11" s="62" t="s">
        <v>173</v>
      </c>
      <c r="J11" s="62"/>
      <c r="K11" s="61" t="s">
        <v>141</v>
      </c>
      <c r="L11" s="61" t="s">
        <v>482</v>
      </c>
      <c r="M11" s="62" t="s">
        <v>142</v>
      </c>
      <c r="N11" s="62"/>
      <c r="O11" s="61" t="s">
        <v>173</v>
      </c>
      <c r="P11" s="61" t="s">
        <v>32</v>
      </c>
      <c r="Q11" s="62" t="s">
        <v>883</v>
      </c>
      <c r="R11" s="62"/>
      <c r="S11" s="61">
        <v>330</v>
      </c>
      <c r="T11" s="61" t="str">
        <f>"389,6970"</f>
        <v>389,6970</v>
      </c>
      <c r="U11" s="61"/>
    </row>
    <row r="13" spans="1:21" ht="15">
      <c r="A13" s="58" t="s">
        <v>350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>
      <c r="A14" s="59" t="s">
        <v>1122</v>
      </c>
      <c r="B14" s="59" t="s">
        <v>1123</v>
      </c>
      <c r="C14" s="59" t="s">
        <v>1124</v>
      </c>
      <c r="D14" s="59" t="str">
        <f>"1,1076"</f>
        <v>1,1076</v>
      </c>
      <c r="E14" s="59" t="s">
        <v>17</v>
      </c>
      <c r="F14" s="59" t="s">
        <v>768</v>
      </c>
      <c r="G14" s="60" t="s">
        <v>173</v>
      </c>
      <c r="H14" s="59" t="s">
        <v>24</v>
      </c>
      <c r="I14" s="60" t="s">
        <v>355</v>
      </c>
      <c r="J14" s="60"/>
      <c r="K14" s="59" t="s">
        <v>1125</v>
      </c>
      <c r="L14" s="60" t="s">
        <v>482</v>
      </c>
      <c r="M14" s="60" t="s">
        <v>482</v>
      </c>
      <c r="N14" s="60"/>
      <c r="O14" s="59" t="s">
        <v>33</v>
      </c>
      <c r="P14" s="60" t="s">
        <v>42</v>
      </c>
      <c r="Q14" s="60" t="s">
        <v>42</v>
      </c>
      <c r="R14" s="60"/>
      <c r="S14" s="59">
        <v>342.5</v>
      </c>
      <c r="T14" s="59" t="str">
        <f>"379,3530"</f>
        <v>379,3530</v>
      </c>
      <c r="U14" s="59"/>
    </row>
    <row r="15" spans="1:21">
      <c r="A15" s="61" t="s">
        <v>1126</v>
      </c>
      <c r="B15" s="61" t="s">
        <v>1127</v>
      </c>
      <c r="C15" s="61" t="s">
        <v>1128</v>
      </c>
      <c r="D15" s="61" t="str">
        <f>"1,1126"</f>
        <v>1,1126</v>
      </c>
      <c r="E15" s="61" t="s">
        <v>120</v>
      </c>
      <c r="F15" s="61" t="s">
        <v>72</v>
      </c>
      <c r="G15" s="62" t="s">
        <v>173</v>
      </c>
      <c r="H15" s="62" t="s">
        <v>173</v>
      </c>
      <c r="I15" s="62" t="s">
        <v>173</v>
      </c>
      <c r="J15" s="62"/>
      <c r="K15" s="62" t="s">
        <v>141</v>
      </c>
      <c r="L15" s="62"/>
      <c r="M15" s="62"/>
      <c r="N15" s="62"/>
      <c r="O15" s="62" t="s">
        <v>173</v>
      </c>
      <c r="P15" s="62"/>
      <c r="Q15" s="62"/>
      <c r="R15" s="62"/>
      <c r="S15" s="61">
        <v>0</v>
      </c>
      <c r="T15" s="61" t="str">
        <f>"0,0000"</f>
        <v>0,0000</v>
      </c>
      <c r="U15" s="61" t="s">
        <v>1129</v>
      </c>
    </row>
    <row r="17" spans="1:21" ht="15">
      <c r="A17" s="58" t="s">
        <v>116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1">
      <c r="A18" s="56" t="s">
        <v>1130</v>
      </c>
      <c r="B18" s="56" t="s">
        <v>1131</v>
      </c>
      <c r="C18" s="56" t="s">
        <v>1132</v>
      </c>
      <c r="D18" s="56" t="str">
        <f>"1,0500"</f>
        <v>1,0500</v>
      </c>
      <c r="E18" s="56" t="s">
        <v>120</v>
      </c>
      <c r="F18" s="56" t="s">
        <v>153</v>
      </c>
      <c r="G18" s="57" t="s">
        <v>32</v>
      </c>
      <c r="H18" s="56" t="s">
        <v>32</v>
      </c>
      <c r="I18" s="57" t="s">
        <v>19</v>
      </c>
      <c r="J18" s="57"/>
      <c r="K18" s="56" t="s">
        <v>131</v>
      </c>
      <c r="L18" s="57" t="s">
        <v>155</v>
      </c>
      <c r="M18" s="56" t="s">
        <v>155</v>
      </c>
      <c r="N18" s="57"/>
      <c r="O18" s="56" t="s">
        <v>32</v>
      </c>
      <c r="P18" s="56" t="s">
        <v>33</v>
      </c>
      <c r="Q18" s="56" t="s">
        <v>20</v>
      </c>
      <c r="R18" s="56" t="s">
        <v>178</v>
      </c>
      <c r="S18" s="56">
        <v>385</v>
      </c>
      <c r="T18" s="56" t="str">
        <f>"404,2500"</f>
        <v>404,2500</v>
      </c>
      <c r="U18" s="56"/>
    </row>
    <row r="20" spans="1:21" ht="15">
      <c r="A20" s="58" t="s">
        <v>127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1">
      <c r="A21" s="56" t="s">
        <v>1133</v>
      </c>
      <c r="B21" s="56" t="s">
        <v>1134</v>
      </c>
      <c r="C21" s="56" t="s">
        <v>1135</v>
      </c>
      <c r="D21" s="56" t="str">
        <f>"1,0177"</f>
        <v>1,0177</v>
      </c>
      <c r="E21" s="56" t="s">
        <v>120</v>
      </c>
      <c r="F21" s="56" t="s">
        <v>745</v>
      </c>
      <c r="G21" s="57" t="s">
        <v>34</v>
      </c>
      <c r="H21" s="57" t="s">
        <v>34</v>
      </c>
      <c r="I21" s="57" t="s">
        <v>34</v>
      </c>
      <c r="J21" s="57"/>
      <c r="K21" s="57" t="s">
        <v>170</v>
      </c>
      <c r="L21" s="57"/>
      <c r="M21" s="57"/>
      <c r="N21" s="57"/>
      <c r="O21" s="57" t="s">
        <v>173</v>
      </c>
      <c r="P21" s="57"/>
      <c r="Q21" s="57"/>
      <c r="R21" s="57"/>
      <c r="S21" s="56">
        <v>0</v>
      </c>
      <c r="T21" s="56" t="str">
        <f>"0,0000"</f>
        <v>0,0000</v>
      </c>
      <c r="U21" s="56" t="s">
        <v>1136</v>
      </c>
    </row>
    <row r="23" spans="1:21" ht="15">
      <c r="A23" s="58" t="s">
        <v>143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1">
      <c r="A24" s="56" t="s">
        <v>1137</v>
      </c>
      <c r="B24" s="56" t="s">
        <v>1138</v>
      </c>
      <c r="C24" s="56" t="s">
        <v>1139</v>
      </c>
      <c r="D24" s="56" t="str">
        <f>"0,9007"</f>
        <v>0,9007</v>
      </c>
      <c r="E24" s="56" t="s">
        <v>120</v>
      </c>
      <c r="F24" s="56" t="s">
        <v>745</v>
      </c>
      <c r="G24" s="56" t="s">
        <v>186</v>
      </c>
      <c r="H24" s="57" t="s">
        <v>44</v>
      </c>
      <c r="I24" s="56" t="s">
        <v>44</v>
      </c>
      <c r="J24" s="57"/>
      <c r="K24" s="56" t="s">
        <v>149</v>
      </c>
      <c r="L24" s="57" t="s">
        <v>173</v>
      </c>
      <c r="M24" s="57" t="s">
        <v>173</v>
      </c>
      <c r="N24" s="57"/>
      <c r="O24" s="56" t="s">
        <v>43</v>
      </c>
      <c r="P24" s="56" t="s">
        <v>21</v>
      </c>
      <c r="Q24" s="56" t="s">
        <v>83</v>
      </c>
      <c r="R24" s="57"/>
      <c r="S24" s="56">
        <v>525</v>
      </c>
      <c r="T24" s="56" t="str">
        <f>"472,8937"</f>
        <v>472,8937</v>
      </c>
      <c r="U24" s="56" t="s">
        <v>1136</v>
      </c>
    </row>
    <row r="26" spans="1:21" ht="15">
      <c r="A26" s="58" t="s">
        <v>127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1">
      <c r="A27" s="59" t="s">
        <v>1140</v>
      </c>
      <c r="B27" s="59" t="s">
        <v>1141</v>
      </c>
      <c r="C27" s="59" t="s">
        <v>805</v>
      </c>
      <c r="D27" s="59" t="str">
        <f>"0,8480"</f>
        <v>0,8480</v>
      </c>
      <c r="E27" s="59" t="s">
        <v>17</v>
      </c>
      <c r="F27" s="59" t="s">
        <v>392</v>
      </c>
      <c r="G27" s="59" t="s">
        <v>254</v>
      </c>
      <c r="H27" s="59" t="s">
        <v>186</v>
      </c>
      <c r="I27" s="59" t="s">
        <v>61</v>
      </c>
      <c r="J27" s="60"/>
      <c r="K27" s="59" t="s">
        <v>131</v>
      </c>
      <c r="L27" s="59" t="s">
        <v>155</v>
      </c>
      <c r="M27" s="59" t="s">
        <v>132</v>
      </c>
      <c r="N27" s="60"/>
      <c r="O27" s="59" t="s">
        <v>235</v>
      </c>
      <c r="P27" s="60" t="s">
        <v>625</v>
      </c>
      <c r="Q27" s="60"/>
      <c r="R27" s="60"/>
      <c r="S27" s="59">
        <v>472.5</v>
      </c>
      <c r="T27" s="59" t="str">
        <f>"400,7036"</f>
        <v>400,7036</v>
      </c>
      <c r="U27" s="59"/>
    </row>
    <row r="28" spans="1:21">
      <c r="A28" s="61" t="s">
        <v>161</v>
      </c>
      <c r="B28" s="61" t="s">
        <v>162</v>
      </c>
      <c r="C28" s="61" t="s">
        <v>1142</v>
      </c>
      <c r="D28" s="61" t="str">
        <f>"0,8328"</f>
        <v>0,8328</v>
      </c>
      <c r="E28" s="61" t="s">
        <v>269</v>
      </c>
      <c r="F28" s="61" t="s">
        <v>164</v>
      </c>
      <c r="G28" s="62" t="s">
        <v>20</v>
      </c>
      <c r="H28" s="61" t="s">
        <v>20</v>
      </c>
      <c r="I28" s="61" t="s">
        <v>54</v>
      </c>
      <c r="J28" s="62"/>
      <c r="K28" s="61" t="s">
        <v>155</v>
      </c>
      <c r="L28" s="61" t="s">
        <v>359</v>
      </c>
      <c r="M28" s="62" t="s">
        <v>135</v>
      </c>
      <c r="N28" s="62"/>
      <c r="O28" s="61" t="s">
        <v>33</v>
      </c>
      <c r="P28" s="62" t="s">
        <v>460</v>
      </c>
      <c r="Q28" s="61" t="s">
        <v>178</v>
      </c>
      <c r="R28" s="62"/>
      <c r="S28" s="61">
        <v>430</v>
      </c>
      <c r="T28" s="61" t="str">
        <f>"358,1255"</f>
        <v>358,1255</v>
      </c>
      <c r="U28" s="61"/>
    </row>
    <row r="30" spans="1:21" ht="15">
      <c r="A30" s="58" t="s">
        <v>143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1">
      <c r="A31" s="56" t="s">
        <v>1143</v>
      </c>
      <c r="B31" s="56" t="s">
        <v>1144</v>
      </c>
      <c r="C31" s="56" t="s">
        <v>1145</v>
      </c>
      <c r="D31" s="56" t="str">
        <f>"0,7513"</f>
        <v>0,7513</v>
      </c>
      <c r="E31" s="56" t="s">
        <v>269</v>
      </c>
      <c r="F31" s="56" t="s">
        <v>164</v>
      </c>
      <c r="G31" s="56" t="s">
        <v>211</v>
      </c>
      <c r="H31" s="56" t="s">
        <v>36</v>
      </c>
      <c r="I31" s="57" t="s">
        <v>207</v>
      </c>
      <c r="J31" s="57"/>
      <c r="K31" s="56" t="s">
        <v>160</v>
      </c>
      <c r="L31" s="56" t="s">
        <v>817</v>
      </c>
      <c r="M31" s="57" t="s">
        <v>32</v>
      </c>
      <c r="N31" s="57"/>
      <c r="O31" s="57" t="s">
        <v>831</v>
      </c>
      <c r="P31" s="56" t="s">
        <v>831</v>
      </c>
      <c r="Q31" s="57"/>
      <c r="R31" s="57"/>
      <c r="S31" s="56">
        <v>570</v>
      </c>
      <c r="T31" s="56" t="str">
        <f>"428,2125"</f>
        <v>428,2125</v>
      </c>
      <c r="U31" s="56"/>
    </row>
    <row r="33" spans="1:21" ht="15">
      <c r="A33" s="58" t="s">
        <v>189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1">
      <c r="A34" s="59" t="s">
        <v>1146</v>
      </c>
      <c r="B34" s="59" t="s">
        <v>1147</v>
      </c>
      <c r="C34" s="59" t="s">
        <v>1148</v>
      </c>
      <c r="D34" s="59" t="str">
        <f>"0,6969"</f>
        <v>0,6969</v>
      </c>
      <c r="E34" s="59" t="s">
        <v>120</v>
      </c>
      <c r="F34" s="59" t="s">
        <v>1149</v>
      </c>
      <c r="G34" s="60" t="s">
        <v>61</v>
      </c>
      <c r="H34" s="60" t="s">
        <v>211</v>
      </c>
      <c r="I34" s="60" t="s">
        <v>211</v>
      </c>
      <c r="J34" s="60"/>
      <c r="K34" s="60" t="s">
        <v>135</v>
      </c>
      <c r="L34" s="60"/>
      <c r="M34" s="60"/>
      <c r="N34" s="60"/>
      <c r="O34" s="60" t="s">
        <v>460</v>
      </c>
      <c r="P34" s="60"/>
      <c r="Q34" s="60"/>
      <c r="R34" s="60"/>
      <c r="S34" s="59">
        <v>0</v>
      </c>
      <c r="T34" s="59" t="str">
        <f>"0,0000"</f>
        <v>0,0000</v>
      </c>
      <c r="U34" s="59"/>
    </row>
    <row r="35" spans="1:21">
      <c r="A35" s="63" t="s">
        <v>197</v>
      </c>
      <c r="B35" s="63" t="s">
        <v>198</v>
      </c>
      <c r="C35" s="63" t="s">
        <v>192</v>
      </c>
      <c r="D35" s="63" t="str">
        <f>"0,6885"</f>
        <v>0,6885</v>
      </c>
      <c r="E35" s="63" t="s">
        <v>269</v>
      </c>
      <c r="F35" s="63" t="s">
        <v>164</v>
      </c>
      <c r="G35" s="64" t="s">
        <v>55</v>
      </c>
      <c r="H35" s="63" t="s">
        <v>445</v>
      </c>
      <c r="I35" s="64" t="s">
        <v>1150</v>
      </c>
      <c r="J35" s="64"/>
      <c r="K35" s="63" t="s">
        <v>32</v>
      </c>
      <c r="L35" s="63" t="s">
        <v>33</v>
      </c>
      <c r="M35" s="63" t="s">
        <v>20</v>
      </c>
      <c r="N35" s="64"/>
      <c r="O35" s="63" t="s">
        <v>30</v>
      </c>
      <c r="P35" s="64"/>
      <c r="Q35" s="64"/>
      <c r="R35" s="64"/>
      <c r="S35" s="63">
        <v>635</v>
      </c>
      <c r="T35" s="63" t="str">
        <f>"437,2292"</f>
        <v>437,2292</v>
      </c>
      <c r="U35" s="63"/>
    </row>
    <row r="36" spans="1:21">
      <c r="A36" s="61" t="s">
        <v>892</v>
      </c>
      <c r="B36" s="61" t="s">
        <v>1151</v>
      </c>
      <c r="C36" s="61" t="s">
        <v>192</v>
      </c>
      <c r="D36" s="61" t="str">
        <f>"0,6885"</f>
        <v>0,6885</v>
      </c>
      <c r="E36" s="61" t="s">
        <v>17</v>
      </c>
      <c r="F36" s="61" t="s">
        <v>72</v>
      </c>
      <c r="G36" s="62" t="s">
        <v>207</v>
      </c>
      <c r="H36" s="62" t="s">
        <v>207</v>
      </c>
      <c r="I36" s="61" t="s">
        <v>207</v>
      </c>
      <c r="J36" s="62"/>
      <c r="K36" s="62" t="s">
        <v>42</v>
      </c>
      <c r="L36" s="62" t="s">
        <v>42</v>
      </c>
      <c r="M36" s="62" t="s">
        <v>42</v>
      </c>
      <c r="N36" s="62"/>
      <c r="O36" s="62" t="s">
        <v>460</v>
      </c>
      <c r="P36" s="62"/>
      <c r="Q36" s="62"/>
      <c r="R36" s="62"/>
      <c r="S36" s="61">
        <v>0</v>
      </c>
      <c r="T36" s="61" t="str">
        <f>"0,0000"</f>
        <v>0,0000</v>
      </c>
      <c r="U36" s="61"/>
    </row>
    <row r="38" spans="1:21" ht="15">
      <c r="A38" s="58" t="s">
        <v>13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1">
      <c r="A39" s="59" t="s">
        <v>863</v>
      </c>
      <c r="B39" s="59" t="s">
        <v>864</v>
      </c>
      <c r="C39" s="59" t="s">
        <v>377</v>
      </c>
      <c r="D39" s="59" t="str">
        <f>"0,6513"</f>
        <v>0,6513</v>
      </c>
      <c r="E39" s="59" t="s">
        <v>163</v>
      </c>
      <c r="F39" s="59" t="s">
        <v>164</v>
      </c>
      <c r="G39" s="59" t="s">
        <v>52</v>
      </c>
      <c r="H39" s="60" t="s">
        <v>53</v>
      </c>
      <c r="I39" s="60" t="s">
        <v>53</v>
      </c>
      <c r="J39" s="60"/>
      <c r="K39" s="59" t="s">
        <v>160</v>
      </c>
      <c r="L39" s="59" t="s">
        <v>149</v>
      </c>
      <c r="M39" s="59" t="s">
        <v>173</v>
      </c>
      <c r="N39" s="60"/>
      <c r="O39" s="59" t="s">
        <v>30</v>
      </c>
      <c r="P39" s="59" t="s">
        <v>31</v>
      </c>
      <c r="Q39" s="59" t="s">
        <v>36</v>
      </c>
      <c r="R39" s="60"/>
      <c r="S39" s="59">
        <v>600</v>
      </c>
      <c r="T39" s="59" t="str">
        <f>"390,7800"</f>
        <v>390,7800</v>
      </c>
      <c r="U39" s="59"/>
    </row>
    <row r="40" spans="1:21">
      <c r="A40" s="63" t="s">
        <v>1152</v>
      </c>
      <c r="B40" s="63" t="s">
        <v>1153</v>
      </c>
      <c r="C40" s="63" t="s">
        <v>873</v>
      </c>
      <c r="D40" s="63" t="str">
        <f>"0,6471"</f>
        <v>0,6471</v>
      </c>
      <c r="E40" s="63" t="s">
        <v>120</v>
      </c>
      <c r="F40" s="63" t="s">
        <v>1149</v>
      </c>
      <c r="G40" s="63" t="s">
        <v>207</v>
      </c>
      <c r="H40" s="64" t="s">
        <v>445</v>
      </c>
      <c r="I40" s="64" t="s">
        <v>253</v>
      </c>
      <c r="J40" s="64"/>
      <c r="K40" s="63" t="s">
        <v>34</v>
      </c>
      <c r="L40" s="63" t="s">
        <v>179</v>
      </c>
      <c r="M40" s="64" t="s">
        <v>54</v>
      </c>
      <c r="N40" s="64"/>
      <c r="O40" s="63" t="s">
        <v>53</v>
      </c>
      <c r="P40" s="63" t="s">
        <v>751</v>
      </c>
      <c r="Q40" s="64" t="s">
        <v>241</v>
      </c>
      <c r="R40" s="64"/>
      <c r="S40" s="63">
        <v>692.5</v>
      </c>
      <c r="T40" s="63" t="str">
        <f>"448,1514"</f>
        <v>448,1514</v>
      </c>
      <c r="U40" s="63"/>
    </row>
    <row r="41" spans="1:21">
      <c r="A41" s="63" t="s">
        <v>1154</v>
      </c>
      <c r="B41" s="63" t="s">
        <v>1155</v>
      </c>
      <c r="C41" s="63" t="s">
        <v>1156</v>
      </c>
      <c r="D41" s="63" t="str">
        <f>"0,8739"</f>
        <v>0,8739</v>
      </c>
      <c r="E41" s="63" t="s">
        <v>17</v>
      </c>
      <c r="F41" s="63" t="s">
        <v>1157</v>
      </c>
      <c r="G41" s="63" t="s">
        <v>83</v>
      </c>
      <c r="H41" s="63" t="s">
        <v>30</v>
      </c>
      <c r="I41" s="64" t="s">
        <v>565</v>
      </c>
      <c r="J41" s="64"/>
      <c r="K41" s="63" t="s">
        <v>465</v>
      </c>
      <c r="L41" s="63" t="s">
        <v>359</v>
      </c>
      <c r="M41" s="64"/>
      <c r="N41" s="64"/>
      <c r="O41" s="63" t="s">
        <v>30</v>
      </c>
      <c r="P41" s="63" t="s">
        <v>378</v>
      </c>
      <c r="Q41" s="63" t="s">
        <v>31</v>
      </c>
      <c r="R41" s="64"/>
      <c r="S41" s="63">
        <v>512.5</v>
      </c>
      <c r="T41" s="63" t="str">
        <f>"447,8989"</f>
        <v>447,8989</v>
      </c>
      <c r="U41" s="63"/>
    </row>
    <row r="42" spans="1:21">
      <c r="A42" s="61" t="s">
        <v>216</v>
      </c>
      <c r="B42" s="61" t="s">
        <v>217</v>
      </c>
      <c r="C42" s="61" t="s">
        <v>218</v>
      </c>
      <c r="D42" s="61" t="str">
        <f>"1,1236"</f>
        <v>1,1236</v>
      </c>
      <c r="E42" s="61" t="s">
        <v>17</v>
      </c>
      <c r="F42" s="61" t="s">
        <v>159</v>
      </c>
      <c r="G42" s="62" t="s">
        <v>188</v>
      </c>
      <c r="H42" s="61" t="s">
        <v>188</v>
      </c>
      <c r="I42" s="62" t="s">
        <v>186</v>
      </c>
      <c r="J42" s="62"/>
      <c r="K42" s="61" t="s">
        <v>22</v>
      </c>
      <c r="L42" s="61" t="s">
        <v>270</v>
      </c>
      <c r="M42" s="61" t="s">
        <v>126</v>
      </c>
      <c r="N42" s="62"/>
      <c r="O42" s="61" t="s">
        <v>188</v>
      </c>
      <c r="P42" s="61" t="s">
        <v>186</v>
      </c>
      <c r="Q42" s="62" t="s">
        <v>44</v>
      </c>
      <c r="R42" s="62"/>
      <c r="S42" s="61">
        <v>525</v>
      </c>
      <c r="T42" s="61" t="str">
        <f>"589,8753"</f>
        <v>589,8753</v>
      </c>
      <c r="U42" s="61"/>
    </row>
    <row r="44" spans="1:21" ht="15">
      <c r="A44" s="58" t="s">
        <v>25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1">
      <c r="A45" s="59" t="s">
        <v>1158</v>
      </c>
      <c r="B45" s="59" t="s">
        <v>1159</v>
      </c>
      <c r="C45" s="59" t="s">
        <v>221</v>
      </c>
      <c r="D45" s="59" t="str">
        <f>"0,6122"</f>
        <v>0,6122</v>
      </c>
      <c r="E45" s="59" t="s">
        <v>163</v>
      </c>
      <c r="F45" s="59" t="s">
        <v>164</v>
      </c>
      <c r="G45" s="59" t="s">
        <v>55</v>
      </c>
      <c r="H45" s="60" t="s">
        <v>56</v>
      </c>
      <c r="I45" s="60" t="s">
        <v>278</v>
      </c>
      <c r="J45" s="60"/>
      <c r="K45" s="59" t="s">
        <v>54</v>
      </c>
      <c r="L45" s="59" t="s">
        <v>67</v>
      </c>
      <c r="M45" s="59" t="s">
        <v>188</v>
      </c>
      <c r="N45" s="60"/>
      <c r="O45" s="59" t="s">
        <v>53</v>
      </c>
      <c r="P45" s="59" t="s">
        <v>207</v>
      </c>
      <c r="Q45" s="60"/>
      <c r="R45" s="60"/>
      <c r="S45" s="59">
        <v>725</v>
      </c>
      <c r="T45" s="59" t="str">
        <f>"443,8812"</f>
        <v>443,8812</v>
      </c>
      <c r="U45" s="59"/>
    </row>
    <row r="46" spans="1:21">
      <c r="A46" s="61" t="s">
        <v>1160</v>
      </c>
      <c r="B46" s="61" t="s">
        <v>1161</v>
      </c>
      <c r="C46" s="61" t="s">
        <v>932</v>
      </c>
      <c r="D46" s="61" t="str">
        <f>"0,6141"</f>
        <v>0,6141</v>
      </c>
      <c r="E46" s="61" t="s">
        <v>120</v>
      </c>
      <c r="F46" s="61" t="s">
        <v>441</v>
      </c>
      <c r="G46" s="61" t="s">
        <v>55</v>
      </c>
      <c r="H46" s="61" t="s">
        <v>56</v>
      </c>
      <c r="I46" s="62" t="s">
        <v>253</v>
      </c>
      <c r="J46" s="62"/>
      <c r="K46" s="61" t="s">
        <v>43</v>
      </c>
      <c r="L46" s="62" t="s">
        <v>227</v>
      </c>
      <c r="M46" s="62" t="s">
        <v>227</v>
      </c>
      <c r="N46" s="62"/>
      <c r="O46" s="61" t="s">
        <v>36</v>
      </c>
      <c r="P46" s="62" t="s">
        <v>236</v>
      </c>
      <c r="Q46" s="62" t="s">
        <v>236</v>
      </c>
      <c r="R46" s="62"/>
      <c r="S46" s="61">
        <v>690</v>
      </c>
      <c r="T46" s="61" t="str">
        <f>"423,7635"</f>
        <v>423,7635</v>
      </c>
      <c r="U46" s="61"/>
    </row>
    <row r="48" spans="1:21" ht="15">
      <c r="A48" s="58" t="s">
        <v>47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1">
      <c r="A49" s="59" t="s">
        <v>1162</v>
      </c>
      <c r="B49" s="59" t="s">
        <v>1163</v>
      </c>
      <c r="C49" s="59" t="s">
        <v>706</v>
      </c>
      <c r="D49" s="59" t="str">
        <f>"0,5853"</f>
        <v>0,5853</v>
      </c>
      <c r="E49" s="59" t="s">
        <v>81</v>
      </c>
      <c r="F49" s="59" t="s">
        <v>82</v>
      </c>
      <c r="G49" s="59" t="s">
        <v>21</v>
      </c>
      <c r="H49" s="59" t="s">
        <v>30</v>
      </c>
      <c r="I49" s="60" t="s">
        <v>31</v>
      </c>
      <c r="J49" s="60"/>
      <c r="K49" s="59" t="s">
        <v>149</v>
      </c>
      <c r="L49" s="59" t="s">
        <v>355</v>
      </c>
      <c r="M49" s="60" t="s">
        <v>19</v>
      </c>
      <c r="N49" s="60"/>
      <c r="O49" s="59" t="s">
        <v>30</v>
      </c>
      <c r="P49" s="59" t="s">
        <v>378</v>
      </c>
      <c r="Q49" s="59" t="s">
        <v>295</v>
      </c>
      <c r="R49" s="60"/>
      <c r="S49" s="59">
        <v>555</v>
      </c>
      <c r="T49" s="59" t="str">
        <f>"324,8692"</f>
        <v>324,8692</v>
      </c>
      <c r="U49" s="59"/>
    </row>
    <row r="50" spans="1:21">
      <c r="A50" s="63" t="s">
        <v>1164</v>
      </c>
      <c r="B50" s="63" t="s">
        <v>1165</v>
      </c>
      <c r="C50" s="63" t="s">
        <v>1166</v>
      </c>
      <c r="D50" s="63" t="str">
        <f>"0,5932"</f>
        <v>0,5932</v>
      </c>
      <c r="E50" s="63" t="s">
        <v>17</v>
      </c>
      <c r="F50" s="63" t="s">
        <v>1167</v>
      </c>
      <c r="G50" s="63" t="s">
        <v>253</v>
      </c>
      <c r="H50" s="63" t="s">
        <v>73</v>
      </c>
      <c r="I50" s="63" t="s">
        <v>419</v>
      </c>
      <c r="J50" s="64"/>
      <c r="K50" s="64" t="s">
        <v>61</v>
      </c>
      <c r="L50" s="63" t="s">
        <v>61</v>
      </c>
      <c r="M50" s="63" t="s">
        <v>31</v>
      </c>
      <c r="N50" s="64"/>
      <c r="O50" s="63" t="s">
        <v>207</v>
      </c>
      <c r="P50" s="63" t="s">
        <v>445</v>
      </c>
      <c r="Q50" s="64" t="s">
        <v>253</v>
      </c>
      <c r="R50" s="64"/>
      <c r="S50" s="63">
        <v>807.5</v>
      </c>
      <c r="T50" s="63" t="str">
        <f>"478,9686"</f>
        <v>478,9686</v>
      </c>
      <c r="U50" s="63"/>
    </row>
    <row r="51" spans="1:21">
      <c r="A51" s="63" t="s">
        <v>957</v>
      </c>
      <c r="B51" s="63" t="s">
        <v>958</v>
      </c>
      <c r="C51" s="63" t="s">
        <v>1168</v>
      </c>
      <c r="D51" s="63" t="str">
        <f>"0,5914"</f>
        <v>0,5914</v>
      </c>
      <c r="E51" s="63" t="s">
        <v>163</v>
      </c>
      <c r="F51" s="63" t="s">
        <v>164</v>
      </c>
      <c r="G51" s="64" t="s">
        <v>207</v>
      </c>
      <c r="H51" s="63" t="s">
        <v>207</v>
      </c>
      <c r="I51" s="64" t="s">
        <v>56</v>
      </c>
      <c r="J51" s="64"/>
      <c r="K51" s="63" t="s">
        <v>32</v>
      </c>
      <c r="L51" s="64" t="s">
        <v>33</v>
      </c>
      <c r="M51" s="64"/>
      <c r="N51" s="64"/>
      <c r="O51" s="63" t="s">
        <v>207</v>
      </c>
      <c r="P51" s="64"/>
      <c r="Q51" s="64"/>
      <c r="R51" s="64"/>
      <c r="S51" s="63">
        <v>660</v>
      </c>
      <c r="T51" s="63" t="str">
        <f>"390,3240"</f>
        <v>390,3240</v>
      </c>
      <c r="U51" s="63"/>
    </row>
    <row r="52" spans="1:21">
      <c r="A52" s="61" t="s">
        <v>246</v>
      </c>
      <c r="B52" s="61" t="s">
        <v>247</v>
      </c>
      <c r="C52" s="61" t="s">
        <v>1169</v>
      </c>
      <c r="D52" s="61" t="str">
        <f>"0,6228"</f>
        <v>0,6228</v>
      </c>
      <c r="E52" s="61" t="s">
        <v>120</v>
      </c>
      <c r="F52" s="61" t="s">
        <v>249</v>
      </c>
      <c r="G52" s="61" t="s">
        <v>186</v>
      </c>
      <c r="H52" s="62" t="s">
        <v>211</v>
      </c>
      <c r="I52" s="62" t="s">
        <v>180</v>
      </c>
      <c r="J52" s="62"/>
      <c r="K52" s="61" t="s">
        <v>20</v>
      </c>
      <c r="L52" s="62" t="s">
        <v>21</v>
      </c>
      <c r="M52" s="62" t="s">
        <v>67</v>
      </c>
      <c r="N52" s="62"/>
      <c r="O52" s="61" t="s">
        <v>186</v>
      </c>
      <c r="P52" s="61" t="s">
        <v>35</v>
      </c>
      <c r="Q52" s="62" t="s">
        <v>1170</v>
      </c>
      <c r="R52" s="62"/>
      <c r="S52" s="61">
        <v>600</v>
      </c>
      <c r="T52" s="61" t="str">
        <f>"373,6652"</f>
        <v>373,6652</v>
      </c>
      <c r="U52" s="61"/>
    </row>
    <row r="54" spans="1:21" ht="15">
      <c r="A54" s="58" t="s">
        <v>68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1">
      <c r="A55" s="59" t="s">
        <v>1171</v>
      </c>
      <c r="B55" s="59" t="s">
        <v>1172</v>
      </c>
      <c r="C55" s="59" t="s">
        <v>1173</v>
      </c>
      <c r="D55" s="59" t="str">
        <f>"0,5765"</f>
        <v>0,5765</v>
      </c>
      <c r="E55" s="59" t="s">
        <v>17</v>
      </c>
      <c r="F55" s="59" t="s">
        <v>1109</v>
      </c>
      <c r="G55" s="59" t="s">
        <v>1174</v>
      </c>
      <c r="H55" s="59" t="s">
        <v>407</v>
      </c>
      <c r="I55" s="59" t="s">
        <v>1175</v>
      </c>
      <c r="J55" s="60"/>
      <c r="K55" s="60" t="s">
        <v>61</v>
      </c>
      <c r="L55" s="59" t="s">
        <v>61</v>
      </c>
      <c r="M55" s="59" t="s">
        <v>31</v>
      </c>
      <c r="N55" s="60"/>
      <c r="O55" s="60" t="s">
        <v>73</v>
      </c>
      <c r="P55" s="59" t="s">
        <v>73</v>
      </c>
      <c r="Q55" s="59" t="s">
        <v>1176</v>
      </c>
      <c r="R55" s="60" t="s">
        <v>77</v>
      </c>
      <c r="S55" s="59">
        <v>875</v>
      </c>
      <c r="T55" s="59" t="str">
        <f>"504,4375"</f>
        <v>504,4375</v>
      </c>
      <c r="U55" s="59"/>
    </row>
    <row r="56" spans="1:21">
      <c r="A56" s="63" t="s">
        <v>1177</v>
      </c>
      <c r="B56" s="63" t="s">
        <v>1178</v>
      </c>
      <c r="C56" s="63" t="s">
        <v>715</v>
      </c>
      <c r="D56" s="63" t="str">
        <f>"0,5647"</f>
        <v>0,5647</v>
      </c>
      <c r="E56" s="63" t="s">
        <v>17</v>
      </c>
      <c r="F56" s="63" t="s">
        <v>153</v>
      </c>
      <c r="G56" s="63" t="s">
        <v>55</v>
      </c>
      <c r="H56" s="64" t="s">
        <v>278</v>
      </c>
      <c r="I56" s="64" t="s">
        <v>278</v>
      </c>
      <c r="J56" s="64"/>
      <c r="K56" s="63" t="s">
        <v>30</v>
      </c>
      <c r="L56" s="63" t="s">
        <v>61</v>
      </c>
      <c r="M56" s="63" t="s">
        <v>211</v>
      </c>
      <c r="N56" s="64"/>
      <c r="O56" s="63" t="s">
        <v>291</v>
      </c>
      <c r="P56" s="63" t="s">
        <v>76</v>
      </c>
      <c r="Q56" s="64" t="s">
        <v>1179</v>
      </c>
      <c r="R56" s="64"/>
      <c r="S56" s="63">
        <v>805</v>
      </c>
      <c r="T56" s="63" t="str">
        <f>"454,5835"</f>
        <v>454,5835</v>
      </c>
      <c r="U56" s="63"/>
    </row>
    <row r="57" spans="1:21">
      <c r="A57" s="63" t="s">
        <v>1180</v>
      </c>
      <c r="B57" s="63" t="s">
        <v>1181</v>
      </c>
      <c r="C57" s="63" t="s">
        <v>252</v>
      </c>
      <c r="D57" s="63" t="str">
        <f>"0,5629"</f>
        <v>0,5629</v>
      </c>
      <c r="E57" s="63" t="s">
        <v>81</v>
      </c>
      <c r="F57" s="63" t="s">
        <v>82</v>
      </c>
      <c r="G57" s="64" t="s">
        <v>73</v>
      </c>
      <c r="H57" s="63" t="s">
        <v>1174</v>
      </c>
      <c r="I57" s="64" t="s">
        <v>1176</v>
      </c>
      <c r="J57" s="64"/>
      <c r="K57" s="63" t="s">
        <v>83</v>
      </c>
      <c r="L57" s="63" t="s">
        <v>30</v>
      </c>
      <c r="M57" s="63" t="s">
        <v>61</v>
      </c>
      <c r="N57" s="64"/>
      <c r="O57" s="63" t="s">
        <v>55</v>
      </c>
      <c r="P57" s="64" t="s">
        <v>253</v>
      </c>
      <c r="Q57" s="64" t="s">
        <v>253</v>
      </c>
      <c r="R57" s="64"/>
      <c r="S57" s="63">
        <v>785</v>
      </c>
      <c r="T57" s="63" t="str">
        <f>"441,8765"</f>
        <v>441,8765</v>
      </c>
      <c r="U57" s="63"/>
    </row>
    <row r="58" spans="1:21">
      <c r="A58" s="61" t="s">
        <v>1182</v>
      </c>
      <c r="B58" s="61" t="s">
        <v>1183</v>
      </c>
      <c r="C58" s="61" t="s">
        <v>1184</v>
      </c>
      <c r="D58" s="61" t="str">
        <f>"0,6381"</f>
        <v>0,6381</v>
      </c>
      <c r="E58" s="61" t="s">
        <v>40</v>
      </c>
      <c r="F58" s="61" t="s">
        <v>1185</v>
      </c>
      <c r="G58" s="61" t="s">
        <v>149</v>
      </c>
      <c r="H58" s="61" t="s">
        <v>33</v>
      </c>
      <c r="I58" s="62" t="s">
        <v>21</v>
      </c>
      <c r="J58" s="62"/>
      <c r="K58" s="61" t="s">
        <v>135</v>
      </c>
      <c r="L58" s="62"/>
      <c r="M58" s="62"/>
      <c r="N58" s="62"/>
      <c r="O58" s="61" t="s">
        <v>149</v>
      </c>
      <c r="P58" s="62"/>
      <c r="Q58" s="62"/>
      <c r="R58" s="62"/>
      <c r="S58" s="61">
        <v>370</v>
      </c>
      <c r="T58" s="61" t="str">
        <f>"236,1113"</f>
        <v>236,1113</v>
      </c>
      <c r="U58" s="61"/>
    </row>
    <row r="60" spans="1:21" ht="15">
      <c r="A60" s="58" t="s">
        <v>271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1">
      <c r="A61" s="56" t="s">
        <v>1186</v>
      </c>
      <c r="B61" s="56" t="s">
        <v>1187</v>
      </c>
      <c r="C61" s="56" t="s">
        <v>1188</v>
      </c>
      <c r="D61" s="56" t="str">
        <f>"0,5511"</f>
        <v>0,5511</v>
      </c>
      <c r="E61" s="56" t="s">
        <v>269</v>
      </c>
      <c r="F61" s="56" t="s">
        <v>164</v>
      </c>
      <c r="G61" s="57" t="s">
        <v>406</v>
      </c>
      <c r="H61" s="56" t="s">
        <v>406</v>
      </c>
      <c r="I61" s="57"/>
      <c r="J61" s="57"/>
      <c r="K61" s="56" t="s">
        <v>61</v>
      </c>
      <c r="L61" s="56" t="s">
        <v>211</v>
      </c>
      <c r="M61" s="57" t="s">
        <v>36</v>
      </c>
      <c r="N61" s="57"/>
      <c r="O61" s="56" t="s">
        <v>207</v>
      </c>
      <c r="P61" s="57" t="s">
        <v>56</v>
      </c>
      <c r="Q61" s="57" t="s">
        <v>56</v>
      </c>
      <c r="R61" s="57"/>
      <c r="S61" s="56">
        <v>787.5</v>
      </c>
      <c r="T61" s="56" t="str">
        <f>"433,9519"</f>
        <v>433,9519</v>
      </c>
      <c r="U61" s="56"/>
    </row>
    <row r="63" spans="1:21" ht="15">
      <c r="E63" s="65" t="s">
        <v>84</v>
      </c>
    </row>
    <row r="64" spans="1:21" ht="15">
      <c r="E64" s="65" t="s">
        <v>85</v>
      </c>
    </row>
    <row r="65" spans="1:5" ht="15">
      <c r="E65" s="65" t="s">
        <v>86</v>
      </c>
    </row>
    <row r="66" spans="1:5">
      <c r="E66" s="55" t="s">
        <v>87</v>
      </c>
    </row>
    <row r="67" spans="1:5">
      <c r="E67" s="55" t="s">
        <v>88</v>
      </c>
    </row>
    <row r="68" spans="1:5">
      <c r="E68" s="55" t="s">
        <v>89</v>
      </c>
    </row>
    <row r="71" spans="1:5" ht="18">
      <c r="A71" s="66" t="s">
        <v>90</v>
      </c>
      <c r="B71" s="66"/>
    </row>
    <row r="72" spans="1:5" ht="15">
      <c r="A72" s="67" t="s">
        <v>284</v>
      </c>
      <c r="B72" s="67"/>
    </row>
    <row r="73" spans="1:5" ht="14.25">
      <c r="A73" s="69" t="s">
        <v>92</v>
      </c>
      <c r="B73" s="70"/>
    </row>
    <row r="74" spans="1:5" ht="15">
      <c r="A74" s="71" t="s">
        <v>0</v>
      </c>
      <c r="B74" s="71" t="s">
        <v>93</v>
      </c>
      <c r="C74" s="71" t="s">
        <v>94</v>
      </c>
      <c r="D74" s="71" t="s">
        <v>7</v>
      </c>
      <c r="E74" s="71" t="s">
        <v>95</v>
      </c>
    </row>
    <row r="75" spans="1:5">
      <c r="A75" s="68" t="s">
        <v>1137</v>
      </c>
      <c r="B75" s="55" t="s">
        <v>96</v>
      </c>
      <c r="C75" s="55" t="s">
        <v>293</v>
      </c>
      <c r="D75" s="55" t="s">
        <v>330</v>
      </c>
      <c r="E75" s="72" t="s">
        <v>1189</v>
      </c>
    </row>
    <row r="76" spans="1:5">
      <c r="A76" s="68" t="s">
        <v>1106</v>
      </c>
      <c r="B76" s="55" t="s">
        <v>96</v>
      </c>
      <c r="C76" s="55" t="s">
        <v>1008</v>
      </c>
      <c r="D76" s="55" t="s">
        <v>1176</v>
      </c>
      <c r="E76" s="72" t="s">
        <v>1190</v>
      </c>
    </row>
    <row r="77" spans="1:5">
      <c r="A77" s="68" t="s">
        <v>1130</v>
      </c>
      <c r="B77" s="55" t="s">
        <v>96</v>
      </c>
      <c r="C77" s="55" t="s">
        <v>289</v>
      </c>
      <c r="D77" s="55" t="s">
        <v>1191</v>
      </c>
      <c r="E77" s="72" t="s">
        <v>1192</v>
      </c>
    </row>
    <row r="78" spans="1:5">
      <c r="A78" s="68" t="s">
        <v>1110</v>
      </c>
      <c r="B78" s="55" t="s">
        <v>96</v>
      </c>
      <c r="C78" s="55" t="s">
        <v>1008</v>
      </c>
      <c r="D78" s="55" t="s">
        <v>1150</v>
      </c>
      <c r="E78" s="72" t="s">
        <v>1193</v>
      </c>
    </row>
    <row r="80" spans="1:5" ht="14.25">
      <c r="A80" s="69" t="s">
        <v>100</v>
      </c>
      <c r="B80" s="70"/>
    </row>
    <row r="81" spans="1:5" ht="15">
      <c r="A81" s="71" t="s">
        <v>0</v>
      </c>
      <c r="B81" s="71" t="s">
        <v>93</v>
      </c>
      <c r="C81" s="71" t="s">
        <v>94</v>
      </c>
      <c r="D81" s="71" t="s">
        <v>7</v>
      </c>
      <c r="E81" s="71" t="s">
        <v>95</v>
      </c>
    </row>
    <row r="82" spans="1:5">
      <c r="A82" s="68" t="s">
        <v>1116</v>
      </c>
      <c r="B82" s="55" t="s">
        <v>100</v>
      </c>
      <c r="C82" s="55" t="s">
        <v>626</v>
      </c>
      <c r="D82" s="55" t="s">
        <v>1000</v>
      </c>
      <c r="E82" s="72" t="s">
        <v>1194</v>
      </c>
    </row>
    <row r="83" spans="1:5">
      <c r="A83" s="68" t="s">
        <v>1119</v>
      </c>
      <c r="B83" s="55" t="s">
        <v>100</v>
      </c>
      <c r="C83" s="55" t="s">
        <v>626</v>
      </c>
      <c r="D83" s="55" t="s">
        <v>74</v>
      </c>
      <c r="E83" s="72" t="s">
        <v>1195</v>
      </c>
    </row>
    <row r="84" spans="1:5">
      <c r="A84" s="68" t="s">
        <v>1122</v>
      </c>
      <c r="B84" s="55" t="s">
        <v>100</v>
      </c>
      <c r="C84" s="55" t="s">
        <v>411</v>
      </c>
      <c r="D84" s="55" t="s">
        <v>348</v>
      </c>
      <c r="E84" s="72" t="s">
        <v>1196</v>
      </c>
    </row>
    <row r="87" spans="1:5" ht="15">
      <c r="A87" s="67" t="s">
        <v>91</v>
      </c>
      <c r="B87" s="67"/>
    </row>
    <row r="88" spans="1:5" ht="14.25">
      <c r="A88" s="69" t="s">
        <v>285</v>
      </c>
      <c r="B88" s="70"/>
    </row>
    <row r="89" spans="1:5" ht="15">
      <c r="A89" s="71" t="s">
        <v>0</v>
      </c>
      <c r="B89" s="71" t="s">
        <v>93</v>
      </c>
      <c r="C89" s="71" t="s">
        <v>94</v>
      </c>
      <c r="D89" s="71" t="s">
        <v>7</v>
      </c>
      <c r="E89" s="71" t="s">
        <v>95</v>
      </c>
    </row>
    <row r="90" spans="1:5">
      <c r="A90" s="68" t="s">
        <v>1140</v>
      </c>
      <c r="B90" s="55" t="s">
        <v>416</v>
      </c>
      <c r="C90" s="55" t="s">
        <v>287</v>
      </c>
      <c r="D90" s="55" t="s">
        <v>1045</v>
      </c>
      <c r="E90" s="72" t="s">
        <v>1197</v>
      </c>
    </row>
    <row r="91" spans="1:5">
      <c r="A91" s="68" t="s">
        <v>1162</v>
      </c>
      <c r="B91" s="55" t="s">
        <v>286</v>
      </c>
      <c r="C91" s="55" t="s">
        <v>104</v>
      </c>
      <c r="D91" s="55" t="s">
        <v>1071</v>
      </c>
      <c r="E91" s="72" t="s">
        <v>1198</v>
      </c>
    </row>
    <row r="93" spans="1:5" ht="14.25">
      <c r="A93" s="69" t="s">
        <v>92</v>
      </c>
      <c r="B93" s="70"/>
    </row>
    <row r="94" spans="1:5" ht="15">
      <c r="A94" s="71" t="s">
        <v>0</v>
      </c>
      <c r="B94" s="71" t="s">
        <v>93</v>
      </c>
      <c r="C94" s="71" t="s">
        <v>94</v>
      </c>
      <c r="D94" s="71" t="s">
        <v>7</v>
      </c>
      <c r="E94" s="71" t="s">
        <v>95</v>
      </c>
    </row>
    <row r="95" spans="1:5">
      <c r="A95" s="68" t="s">
        <v>863</v>
      </c>
      <c r="B95" s="55" t="s">
        <v>96</v>
      </c>
      <c r="C95" s="55" t="s">
        <v>97</v>
      </c>
      <c r="D95" s="55" t="s">
        <v>1038</v>
      </c>
      <c r="E95" s="72" t="s">
        <v>1199</v>
      </c>
    </row>
    <row r="97" spans="1:5" ht="14.25">
      <c r="A97" s="69" t="s">
        <v>100</v>
      </c>
      <c r="B97" s="70"/>
    </row>
    <row r="98" spans="1:5" ht="15">
      <c r="A98" s="71" t="s">
        <v>0</v>
      </c>
      <c r="B98" s="71" t="s">
        <v>93</v>
      </c>
      <c r="C98" s="71" t="s">
        <v>94</v>
      </c>
      <c r="D98" s="71" t="s">
        <v>7</v>
      </c>
      <c r="E98" s="71" t="s">
        <v>95</v>
      </c>
    </row>
    <row r="99" spans="1:5">
      <c r="A99" s="68" t="s">
        <v>1171</v>
      </c>
      <c r="B99" s="55" t="s">
        <v>100</v>
      </c>
      <c r="C99" s="55" t="s">
        <v>101</v>
      </c>
      <c r="D99" s="55" t="s">
        <v>1200</v>
      </c>
      <c r="E99" s="72" t="s">
        <v>1201</v>
      </c>
    </row>
    <row r="100" spans="1:5">
      <c r="A100" s="68" t="s">
        <v>1164</v>
      </c>
      <c r="B100" s="55" t="s">
        <v>100</v>
      </c>
      <c r="C100" s="55" t="s">
        <v>104</v>
      </c>
      <c r="D100" s="55" t="s">
        <v>1202</v>
      </c>
      <c r="E100" s="72" t="s">
        <v>1203</v>
      </c>
    </row>
    <row r="101" spans="1:5">
      <c r="A101" s="68" t="s">
        <v>1177</v>
      </c>
      <c r="B101" s="55" t="s">
        <v>100</v>
      </c>
      <c r="C101" s="55" t="s">
        <v>101</v>
      </c>
      <c r="D101" s="55" t="s">
        <v>421</v>
      </c>
      <c r="E101" s="72" t="s">
        <v>1204</v>
      </c>
    </row>
    <row r="102" spans="1:5">
      <c r="A102" s="68" t="s">
        <v>1152</v>
      </c>
      <c r="B102" s="55" t="s">
        <v>100</v>
      </c>
      <c r="C102" s="55" t="s">
        <v>97</v>
      </c>
      <c r="D102" s="55" t="s">
        <v>1205</v>
      </c>
      <c r="E102" s="72" t="s">
        <v>1206</v>
      </c>
    </row>
    <row r="103" spans="1:5">
      <c r="A103" s="68" t="s">
        <v>1158</v>
      </c>
      <c r="B103" s="55" t="s">
        <v>100</v>
      </c>
      <c r="C103" s="55" t="s">
        <v>111</v>
      </c>
      <c r="D103" s="55" t="s">
        <v>317</v>
      </c>
      <c r="E103" s="72" t="s">
        <v>1207</v>
      </c>
    </row>
    <row r="104" spans="1:5">
      <c r="A104" s="68" t="s">
        <v>1180</v>
      </c>
      <c r="B104" s="55" t="s">
        <v>100</v>
      </c>
      <c r="C104" s="55" t="s">
        <v>101</v>
      </c>
      <c r="D104" s="55" t="s">
        <v>425</v>
      </c>
      <c r="E104" s="72" t="s">
        <v>1208</v>
      </c>
    </row>
    <row r="105" spans="1:5">
      <c r="A105" s="68" t="s">
        <v>197</v>
      </c>
      <c r="B105" s="55" t="s">
        <v>100</v>
      </c>
      <c r="C105" s="55" t="s">
        <v>310</v>
      </c>
      <c r="D105" s="55" t="s">
        <v>311</v>
      </c>
      <c r="E105" s="72" t="s">
        <v>312</v>
      </c>
    </row>
    <row r="106" spans="1:5">
      <c r="A106" s="68" t="s">
        <v>1186</v>
      </c>
      <c r="B106" s="55" t="s">
        <v>100</v>
      </c>
      <c r="C106" s="55" t="s">
        <v>304</v>
      </c>
      <c r="D106" s="55" t="s">
        <v>1209</v>
      </c>
      <c r="E106" s="72" t="s">
        <v>1210</v>
      </c>
    </row>
    <row r="107" spans="1:5">
      <c r="A107" s="68" t="s">
        <v>1143</v>
      </c>
      <c r="B107" s="55" t="s">
        <v>100</v>
      </c>
      <c r="C107" s="55" t="s">
        <v>293</v>
      </c>
      <c r="D107" s="55" t="s">
        <v>1211</v>
      </c>
      <c r="E107" s="72" t="s">
        <v>1212</v>
      </c>
    </row>
    <row r="108" spans="1:5">
      <c r="A108" s="68" t="s">
        <v>1160</v>
      </c>
      <c r="B108" s="55" t="s">
        <v>100</v>
      </c>
      <c r="C108" s="55" t="s">
        <v>111</v>
      </c>
      <c r="D108" s="55" t="s">
        <v>448</v>
      </c>
      <c r="E108" s="72" t="s">
        <v>1213</v>
      </c>
    </row>
    <row r="109" spans="1:5">
      <c r="A109" s="68" t="s">
        <v>957</v>
      </c>
      <c r="B109" s="55" t="s">
        <v>100</v>
      </c>
      <c r="C109" s="55" t="s">
        <v>104</v>
      </c>
      <c r="D109" s="55" t="s">
        <v>107</v>
      </c>
      <c r="E109" s="72" t="s">
        <v>1214</v>
      </c>
    </row>
    <row r="110" spans="1:5">
      <c r="A110" s="68" t="s">
        <v>161</v>
      </c>
      <c r="B110" s="55" t="s">
        <v>100</v>
      </c>
      <c r="C110" s="55" t="s">
        <v>287</v>
      </c>
      <c r="D110" s="55" t="s">
        <v>1215</v>
      </c>
      <c r="E110" s="72" t="s">
        <v>1216</v>
      </c>
    </row>
    <row r="112" spans="1:5" ht="14.25">
      <c r="A112" s="69" t="s">
        <v>297</v>
      </c>
      <c r="B112" s="70"/>
    </row>
    <row r="113" spans="1:5" ht="15">
      <c r="A113" s="71" t="s">
        <v>0</v>
      </c>
      <c r="B113" s="71" t="s">
        <v>93</v>
      </c>
      <c r="C113" s="71" t="s">
        <v>94</v>
      </c>
      <c r="D113" s="71" t="s">
        <v>7</v>
      </c>
      <c r="E113" s="71" t="s">
        <v>95</v>
      </c>
    </row>
    <row r="114" spans="1:5">
      <c r="A114" s="68" t="s">
        <v>216</v>
      </c>
      <c r="B114" s="55" t="s">
        <v>340</v>
      </c>
      <c r="C114" s="55" t="s">
        <v>97</v>
      </c>
      <c r="D114" s="55" t="s">
        <v>330</v>
      </c>
      <c r="E114" s="72" t="s">
        <v>1217</v>
      </c>
    </row>
    <row r="115" spans="1:5">
      <c r="A115" s="68" t="s">
        <v>1154</v>
      </c>
      <c r="B115" s="55" t="s">
        <v>659</v>
      </c>
      <c r="C115" s="55" t="s">
        <v>97</v>
      </c>
      <c r="D115" s="55" t="s">
        <v>423</v>
      </c>
      <c r="E115" s="72" t="s">
        <v>1218</v>
      </c>
    </row>
    <row r="116" spans="1:5">
      <c r="A116" s="68" t="s">
        <v>246</v>
      </c>
      <c r="B116" s="55" t="s">
        <v>343</v>
      </c>
      <c r="C116" s="55" t="s">
        <v>104</v>
      </c>
      <c r="D116" s="55" t="s">
        <v>1038</v>
      </c>
      <c r="E116" s="72" t="s">
        <v>1219</v>
      </c>
    </row>
    <row r="117" spans="1:5">
      <c r="A117" s="68" t="s">
        <v>1182</v>
      </c>
      <c r="B117" s="55" t="s">
        <v>298</v>
      </c>
      <c r="C117" s="55" t="s">
        <v>101</v>
      </c>
      <c r="D117" s="55" t="s">
        <v>1027</v>
      </c>
      <c r="E117" s="72" t="s">
        <v>1220</v>
      </c>
    </row>
  </sheetData>
  <mergeCells count="27">
    <mergeCell ref="A38:T38"/>
    <mergeCell ref="A44:T44"/>
    <mergeCell ref="A48:T48"/>
    <mergeCell ref="A54:T54"/>
    <mergeCell ref="A60:T60"/>
    <mergeCell ref="A17:T17"/>
    <mergeCell ref="A20:T20"/>
    <mergeCell ref="A23:T23"/>
    <mergeCell ref="A26:T26"/>
    <mergeCell ref="A30:T30"/>
    <mergeCell ref="A33:T33"/>
    <mergeCell ref="S3:S4"/>
    <mergeCell ref="T3:T4"/>
    <mergeCell ref="U3:U4"/>
    <mergeCell ref="A5:T5"/>
    <mergeCell ref="A9:T9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9"/>
  <sheetViews>
    <sheetView topLeftCell="A2" workbookViewId="0">
      <selection activeCell="K35" sqref="K34:K35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2.42578125" style="55" bestFit="1" customWidth="1"/>
    <col min="7" max="9" width="5.5703125" style="55" bestFit="1" customWidth="1"/>
    <col min="10" max="10" width="4.85546875" style="55" bestFit="1" customWidth="1"/>
    <col min="11" max="18" width="5.5703125" style="55" bestFit="1" customWidth="1"/>
    <col min="19" max="19" width="6.7109375" style="55" bestFit="1" customWidth="1"/>
    <col min="20" max="20" width="8.5703125" style="55" bestFit="1" customWidth="1"/>
    <col min="21" max="21" width="30" style="55" bestFit="1" customWidth="1"/>
  </cols>
  <sheetData>
    <row r="1" spans="1:21" s="1" customFormat="1" ht="15" customHeight="1">
      <c r="A1" s="27" t="s">
        <v>2356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759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6" t="s">
        <v>760</v>
      </c>
      <c r="B6" s="56" t="s">
        <v>761</v>
      </c>
      <c r="C6" s="56" t="s">
        <v>762</v>
      </c>
      <c r="D6" s="56" t="str">
        <f>"1,2746"</f>
        <v>1,2746</v>
      </c>
      <c r="E6" s="56" t="s">
        <v>120</v>
      </c>
      <c r="F6" s="56" t="s">
        <v>153</v>
      </c>
      <c r="G6" s="56" t="s">
        <v>142</v>
      </c>
      <c r="H6" s="56" t="s">
        <v>165</v>
      </c>
      <c r="I6" s="56" t="s">
        <v>170</v>
      </c>
      <c r="J6" s="57"/>
      <c r="K6" s="56" t="s">
        <v>133</v>
      </c>
      <c r="L6" s="56" t="s">
        <v>763</v>
      </c>
      <c r="M6" s="56" t="s">
        <v>154</v>
      </c>
      <c r="N6" s="57"/>
      <c r="O6" s="57" t="s">
        <v>155</v>
      </c>
      <c r="P6" s="56" t="s">
        <v>155</v>
      </c>
      <c r="Q6" s="57" t="s">
        <v>132</v>
      </c>
      <c r="R6" s="57"/>
      <c r="S6" s="56">
        <v>205</v>
      </c>
      <c r="T6" s="56" t="str">
        <f>"261,2930"</f>
        <v>261,2930</v>
      </c>
      <c r="U6" s="56"/>
    </row>
    <row r="8" spans="1:21" ht="15">
      <c r="A8" s="58" t="s">
        <v>116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1">
      <c r="A9" s="56" t="s">
        <v>764</v>
      </c>
      <c r="B9" s="56" t="s">
        <v>765</v>
      </c>
      <c r="C9" s="56" t="s">
        <v>766</v>
      </c>
      <c r="D9" s="56" t="str">
        <f>"1,0591"</f>
        <v>1,0591</v>
      </c>
      <c r="E9" s="56" t="s">
        <v>767</v>
      </c>
      <c r="F9" s="56" t="s">
        <v>768</v>
      </c>
      <c r="G9" s="56" t="s">
        <v>170</v>
      </c>
      <c r="H9" s="56" t="s">
        <v>155</v>
      </c>
      <c r="I9" s="56" t="s">
        <v>132</v>
      </c>
      <c r="J9" s="57"/>
      <c r="K9" s="56" t="s">
        <v>154</v>
      </c>
      <c r="L9" s="57" t="s">
        <v>124</v>
      </c>
      <c r="M9" s="56" t="s">
        <v>124</v>
      </c>
      <c r="N9" s="57"/>
      <c r="O9" s="56" t="s">
        <v>22</v>
      </c>
      <c r="P9" s="57" t="s">
        <v>23</v>
      </c>
      <c r="Q9" s="57" t="s">
        <v>23</v>
      </c>
      <c r="R9" s="57"/>
      <c r="S9" s="56">
        <v>247.5</v>
      </c>
      <c r="T9" s="56" t="str">
        <f>"262,1273"</f>
        <v>262,1273</v>
      </c>
      <c r="U9" s="56"/>
    </row>
    <row r="11" spans="1:21" ht="15">
      <c r="A11" s="58" t="s">
        <v>127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1">
      <c r="A12" s="59" t="s">
        <v>128</v>
      </c>
      <c r="B12" s="59" t="s">
        <v>129</v>
      </c>
      <c r="C12" s="59" t="s">
        <v>130</v>
      </c>
      <c r="D12" s="59" t="str">
        <f>"1,0135"</f>
        <v>1,0135</v>
      </c>
      <c r="E12" s="59" t="s">
        <v>120</v>
      </c>
      <c r="F12" s="59" t="s">
        <v>29</v>
      </c>
      <c r="G12" s="60" t="s">
        <v>132</v>
      </c>
      <c r="H12" s="60" t="s">
        <v>132</v>
      </c>
      <c r="I12" s="60" t="s">
        <v>132</v>
      </c>
      <c r="J12" s="60"/>
      <c r="K12" s="60" t="s">
        <v>154</v>
      </c>
      <c r="L12" s="60"/>
      <c r="M12" s="60"/>
      <c r="N12" s="60"/>
      <c r="O12" s="60" t="s">
        <v>149</v>
      </c>
      <c r="P12" s="60"/>
      <c r="Q12" s="60"/>
      <c r="R12" s="60"/>
      <c r="S12" s="59">
        <v>0</v>
      </c>
      <c r="T12" s="59" t="str">
        <f>"0,0000"</f>
        <v>0,0000</v>
      </c>
      <c r="U12" s="59" t="s">
        <v>137</v>
      </c>
    </row>
    <row r="13" spans="1:21">
      <c r="A13" s="61" t="s">
        <v>769</v>
      </c>
      <c r="B13" s="61" t="s">
        <v>770</v>
      </c>
      <c r="C13" s="61" t="s">
        <v>771</v>
      </c>
      <c r="D13" s="61" t="str">
        <f>"0,9889"</f>
        <v>0,9889</v>
      </c>
      <c r="E13" s="61" t="s">
        <v>120</v>
      </c>
      <c r="F13" s="61" t="s">
        <v>700</v>
      </c>
      <c r="G13" s="61" t="s">
        <v>23</v>
      </c>
      <c r="H13" s="62" t="s">
        <v>126</v>
      </c>
      <c r="I13" s="62" t="s">
        <v>126</v>
      </c>
      <c r="J13" s="62"/>
      <c r="K13" s="61" t="s">
        <v>169</v>
      </c>
      <c r="L13" s="61" t="s">
        <v>170</v>
      </c>
      <c r="M13" s="62" t="s">
        <v>772</v>
      </c>
      <c r="N13" s="62"/>
      <c r="O13" s="61" t="s">
        <v>43</v>
      </c>
      <c r="P13" s="62" t="s">
        <v>54</v>
      </c>
      <c r="Q13" s="61" t="s">
        <v>54</v>
      </c>
      <c r="R13" s="62"/>
      <c r="S13" s="61">
        <v>372.5</v>
      </c>
      <c r="T13" s="61" t="str">
        <f>"368,3653"</f>
        <v>368,3653</v>
      </c>
      <c r="U13" s="61"/>
    </row>
    <row r="15" spans="1:21" ht="15">
      <c r="A15" s="58" t="s">
        <v>143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1">
      <c r="A16" s="59" t="s">
        <v>773</v>
      </c>
      <c r="B16" s="59" t="s">
        <v>774</v>
      </c>
      <c r="C16" s="59" t="s">
        <v>775</v>
      </c>
      <c r="D16" s="59" t="str">
        <f>"0,9092"</f>
        <v>0,9092</v>
      </c>
      <c r="E16" s="59" t="s">
        <v>767</v>
      </c>
      <c r="F16" s="59" t="s">
        <v>776</v>
      </c>
      <c r="G16" s="60" t="s">
        <v>22</v>
      </c>
      <c r="H16" s="59" t="s">
        <v>22</v>
      </c>
      <c r="I16" s="60" t="s">
        <v>149</v>
      </c>
      <c r="J16" s="60"/>
      <c r="K16" s="59" t="s">
        <v>165</v>
      </c>
      <c r="L16" s="59" t="s">
        <v>169</v>
      </c>
      <c r="M16" s="60" t="s">
        <v>170</v>
      </c>
      <c r="N16" s="60"/>
      <c r="O16" s="59" t="s">
        <v>32</v>
      </c>
      <c r="P16" s="59" t="s">
        <v>33</v>
      </c>
      <c r="Q16" s="60" t="s">
        <v>34</v>
      </c>
      <c r="R16" s="60"/>
      <c r="S16" s="59">
        <v>332.5</v>
      </c>
      <c r="T16" s="59" t="str">
        <f>"302,2924"</f>
        <v>302,2924</v>
      </c>
      <c r="U16" s="59"/>
    </row>
    <row r="17" spans="1:21">
      <c r="A17" s="63" t="s">
        <v>777</v>
      </c>
      <c r="B17" s="63" t="s">
        <v>778</v>
      </c>
      <c r="C17" s="63" t="s">
        <v>775</v>
      </c>
      <c r="D17" s="63" t="str">
        <f>"0,9092"</f>
        <v>0,9092</v>
      </c>
      <c r="E17" s="63" t="s">
        <v>767</v>
      </c>
      <c r="F17" s="63" t="s">
        <v>569</v>
      </c>
      <c r="G17" s="63" t="s">
        <v>131</v>
      </c>
      <c r="H17" s="64" t="s">
        <v>132</v>
      </c>
      <c r="I17" s="63" t="s">
        <v>135</v>
      </c>
      <c r="J17" s="64"/>
      <c r="K17" s="63" t="s">
        <v>141</v>
      </c>
      <c r="L17" s="63" t="s">
        <v>165</v>
      </c>
      <c r="M17" s="64" t="s">
        <v>169</v>
      </c>
      <c r="N17" s="64"/>
      <c r="O17" s="63" t="s">
        <v>149</v>
      </c>
      <c r="P17" s="63" t="s">
        <v>173</v>
      </c>
      <c r="Q17" s="64" t="s">
        <v>32</v>
      </c>
      <c r="R17" s="64"/>
      <c r="S17" s="63">
        <v>300</v>
      </c>
      <c r="T17" s="63" t="str">
        <f>"272,7450"</f>
        <v>272,7450</v>
      </c>
      <c r="U17" s="63"/>
    </row>
    <row r="18" spans="1:21">
      <c r="A18" s="61" t="s">
        <v>773</v>
      </c>
      <c r="B18" s="61" t="s">
        <v>779</v>
      </c>
      <c r="C18" s="61" t="s">
        <v>775</v>
      </c>
      <c r="D18" s="61" t="str">
        <f>"0,9182"</f>
        <v>0,9182</v>
      </c>
      <c r="E18" s="61" t="s">
        <v>767</v>
      </c>
      <c r="F18" s="61" t="s">
        <v>776</v>
      </c>
      <c r="G18" s="62" t="s">
        <v>22</v>
      </c>
      <c r="H18" s="61" t="s">
        <v>22</v>
      </c>
      <c r="I18" s="62" t="s">
        <v>149</v>
      </c>
      <c r="J18" s="62"/>
      <c r="K18" s="61" t="s">
        <v>165</v>
      </c>
      <c r="L18" s="61" t="s">
        <v>169</v>
      </c>
      <c r="M18" s="62" t="s">
        <v>170</v>
      </c>
      <c r="N18" s="62"/>
      <c r="O18" s="61" t="s">
        <v>32</v>
      </c>
      <c r="P18" s="61" t="s">
        <v>33</v>
      </c>
      <c r="Q18" s="62" t="s">
        <v>34</v>
      </c>
      <c r="R18" s="62"/>
      <c r="S18" s="61">
        <v>332.5</v>
      </c>
      <c r="T18" s="61" t="str">
        <f>"305,3153"</f>
        <v>305,3153</v>
      </c>
      <c r="U18" s="61"/>
    </row>
    <row r="20" spans="1:21" ht="15">
      <c r="A20" s="58" t="s">
        <v>189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1">
      <c r="A21" s="59" t="s">
        <v>780</v>
      </c>
      <c r="B21" s="59" t="s">
        <v>781</v>
      </c>
      <c r="C21" s="59" t="s">
        <v>782</v>
      </c>
      <c r="D21" s="59" t="str">
        <f>"0,7322"</f>
        <v>0,7322</v>
      </c>
      <c r="E21" s="59" t="s">
        <v>120</v>
      </c>
      <c r="F21" s="59" t="s">
        <v>51</v>
      </c>
      <c r="G21" s="59" t="s">
        <v>149</v>
      </c>
      <c r="H21" s="59" t="s">
        <v>173</v>
      </c>
      <c r="I21" s="59" t="s">
        <v>32</v>
      </c>
      <c r="J21" s="60"/>
      <c r="K21" s="60" t="s">
        <v>170</v>
      </c>
      <c r="L21" s="60" t="s">
        <v>170</v>
      </c>
      <c r="M21" s="59" t="s">
        <v>170</v>
      </c>
      <c r="N21" s="60"/>
      <c r="O21" s="59" t="s">
        <v>20</v>
      </c>
      <c r="P21" s="60" t="s">
        <v>43</v>
      </c>
      <c r="Q21" s="60" t="s">
        <v>43</v>
      </c>
      <c r="R21" s="60"/>
      <c r="S21" s="59">
        <v>375</v>
      </c>
      <c r="T21" s="59" t="str">
        <f>"274,5750"</f>
        <v>274,5750</v>
      </c>
      <c r="U21" s="59"/>
    </row>
    <row r="22" spans="1:21">
      <c r="A22" s="61" t="s">
        <v>783</v>
      </c>
      <c r="B22" s="61" t="s">
        <v>784</v>
      </c>
      <c r="C22" s="61" t="s">
        <v>785</v>
      </c>
      <c r="D22" s="61" t="str">
        <f>"0,8799"</f>
        <v>0,8799</v>
      </c>
      <c r="E22" s="61" t="s">
        <v>120</v>
      </c>
      <c r="F22" s="61" t="s">
        <v>786</v>
      </c>
      <c r="G22" s="61" t="s">
        <v>135</v>
      </c>
      <c r="H22" s="61" t="s">
        <v>22</v>
      </c>
      <c r="I22" s="62" t="s">
        <v>160</v>
      </c>
      <c r="J22" s="62"/>
      <c r="K22" s="61" t="s">
        <v>165</v>
      </c>
      <c r="L22" s="61" t="s">
        <v>170</v>
      </c>
      <c r="M22" s="62" t="s">
        <v>772</v>
      </c>
      <c r="N22" s="62"/>
      <c r="O22" s="61" t="s">
        <v>149</v>
      </c>
      <c r="P22" s="61" t="s">
        <v>173</v>
      </c>
      <c r="Q22" s="61" t="s">
        <v>355</v>
      </c>
      <c r="R22" s="62"/>
      <c r="S22" s="61">
        <v>322.5</v>
      </c>
      <c r="T22" s="61" t="str">
        <f>"283,7839"</f>
        <v>283,7839</v>
      </c>
      <c r="U22" s="61"/>
    </row>
    <row r="24" spans="1:21" ht="15">
      <c r="A24" s="58" t="s">
        <v>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1">
      <c r="A25" s="56" t="s">
        <v>787</v>
      </c>
      <c r="B25" s="56" t="s">
        <v>788</v>
      </c>
      <c r="C25" s="56" t="s">
        <v>789</v>
      </c>
      <c r="D25" s="56" t="str">
        <f>"0,8780"</f>
        <v>0,8780</v>
      </c>
      <c r="E25" s="56" t="s">
        <v>120</v>
      </c>
      <c r="F25" s="56" t="s">
        <v>29</v>
      </c>
      <c r="G25" s="56" t="s">
        <v>170</v>
      </c>
      <c r="H25" s="56" t="s">
        <v>155</v>
      </c>
      <c r="I25" s="57" t="s">
        <v>132</v>
      </c>
      <c r="J25" s="57"/>
      <c r="K25" s="56" t="s">
        <v>148</v>
      </c>
      <c r="L25" s="56" t="s">
        <v>482</v>
      </c>
      <c r="M25" s="56" t="s">
        <v>142</v>
      </c>
      <c r="N25" s="57"/>
      <c r="O25" s="56" t="s">
        <v>132</v>
      </c>
      <c r="P25" s="56" t="s">
        <v>187</v>
      </c>
      <c r="Q25" s="56" t="s">
        <v>160</v>
      </c>
      <c r="R25" s="57"/>
      <c r="S25" s="56">
        <v>265</v>
      </c>
      <c r="T25" s="56" t="str">
        <f>"232,6814"</f>
        <v>232,6814</v>
      </c>
      <c r="U25" s="56" t="s">
        <v>790</v>
      </c>
    </row>
    <row r="27" spans="1:21" ht="15">
      <c r="A27" s="58" t="s">
        <v>350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1">
      <c r="A28" s="56" t="s">
        <v>791</v>
      </c>
      <c r="B28" s="56" t="s">
        <v>792</v>
      </c>
      <c r="C28" s="56" t="s">
        <v>793</v>
      </c>
      <c r="D28" s="56" t="str">
        <f>"1,3089"</f>
        <v>1,3089</v>
      </c>
      <c r="E28" s="56" t="s">
        <v>120</v>
      </c>
      <c r="F28" s="56" t="s">
        <v>29</v>
      </c>
      <c r="G28" s="56" t="s">
        <v>131</v>
      </c>
      <c r="H28" s="56" t="s">
        <v>155</v>
      </c>
      <c r="I28" s="56" t="s">
        <v>132</v>
      </c>
      <c r="J28" s="56" t="s">
        <v>359</v>
      </c>
      <c r="K28" s="56" t="s">
        <v>794</v>
      </c>
      <c r="L28" s="56" t="s">
        <v>165</v>
      </c>
      <c r="M28" s="56" t="s">
        <v>169</v>
      </c>
      <c r="N28" s="56" t="s">
        <v>795</v>
      </c>
      <c r="O28" s="56" t="s">
        <v>22</v>
      </c>
      <c r="P28" s="56" t="s">
        <v>270</v>
      </c>
      <c r="Q28" s="56" t="s">
        <v>149</v>
      </c>
      <c r="R28" s="56" t="s">
        <v>23</v>
      </c>
      <c r="S28" s="56">
        <v>282.5</v>
      </c>
      <c r="T28" s="56" t="str">
        <f>"369,7677"</f>
        <v>369,7677</v>
      </c>
      <c r="U28" s="56" t="s">
        <v>796</v>
      </c>
    </row>
    <row r="30" spans="1:21" ht="15">
      <c r="A30" s="58" t="s">
        <v>116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1">
      <c r="A31" s="56" t="s">
        <v>797</v>
      </c>
      <c r="B31" s="56" t="s">
        <v>798</v>
      </c>
      <c r="C31" s="56" t="s">
        <v>799</v>
      </c>
      <c r="D31" s="56" t="str">
        <f>"0,9130"</f>
        <v>0,9130</v>
      </c>
      <c r="E31" s="56" t="s">
        <v>800</v>
      </c>
      <c r="F31" s="56" t="s">
        <v>801</v>
      </c>
      <c r="G31" s="56" t="s">
        <v>22</v>
      </c>
      <c r="H31" s="56" t="s">
        <v>149</v>
      </c>
      <c r="I31" s="56" t="s">
        <v>173</v>
      </c>
      <c r="J31" s="57"/>
      <c r="K31" s="56" t="s">
        <v>132</v>
      </c>
      <c r="L31" s="56" t="s">
        <v>477</v>
      </c>
      <c r="M31" s="56" t="s">
        <v>135</v>
      </c>
      <c r="N31" s="56" t="s">
        <v>802</v>
      </c>
      <c r="O31" s="56" t="s">
        <v>33</v>
      </c>
      <c r="P31" s="56" t="s">
        <v>20</v>
      </c>
      <c r="Q31" s="57" t="s">
        <v>43</v>
      </c>
      <c r="R31" s="57"/>
      <c r="S31" s="56">
        <v>390</v>
      </c>
      <c r="T31" s="56" t="str">
        <f>"356,0895"</f>
        <v>356,0895</v>
      </c>
      <c r="U31" s="56"/>
    </row>
    <row r="33" spans="1:21" ht="15">
      <c r="A33" s="58" t="s">
        <v>127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1">
      <c r="A34" s="56" t="s">
        <v>803</v>
      </c>
      <c r="B34" s="56" t="s">
        <v>804</v>
      </c>
      <c r="C34" s="56" t="s">
        <v>805</v>
      </c>
      <c r="D34" s="56" t="str">
        <f>"0,8480"</f>
        <v>0,8480</v>
      </c>
      <c r="E34" s="56" t="s">
        <v>366</v>
      </c>
      <c r="F34" s="56" t="s">
        <v>367</v>
      </c>
      <c r="G34" s="56" t="s">
        <v>132</v>
      </c>
      <c r="H34" s="56" t="s">
        <v>135</v>
      </c>
      <c r="I34" s="57" t="s">
        <v>136</v>
      </c>
      <c r="J34" s="57"/>
      <c r="K34" s="56" t="s">
        <v>141</v>
      </c>
      <c r="L34" s="56" t="s">
        <v>165</v>
      </c>
      <c r="M34" s="57"/>
      <c r="N34" s="57"/>
      <c r="O34" s="56" t="s">
        <v>33</v>
      </c>
      <c r="P34" s="56" t="s">
        <v>178</v>
      </c>
      <c r="Q34" s="57"/>
      <c r="R34" s="57"/>
      <c r="S34" s="56">
        <v>332.5</v>
      </c>
      <c r="T34" s="56" t="str">
        <f>"281,9766"</f>
        <v>281,9766</v>
      </c>
      <c r="U34" s="56"/>
    </row>
    <row r="36" spans="1:21" ht="15">
      <c r="A36" s="58" t="s">
        <v>143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1">
      <c r="A37" s="59" t="s">
        <v>806</v>
      </c>
      <c r="B37" s="59" t="s">
        <v>807</v>
      </c>
      <c r="C37" s="59" t="s">
        <v>808</v>
      </c>
      <c r="D37" s="59" t="str">
        <f>"0,7977"</f>
        <v>0,7977</v>
      </c>
      <c r="E37" s="59" t="s">
        <v>120</v>
      </c>
      <c r="F37" s="59" t="s">
        <v>500</v>
      </c>
      <c r="G37" s="59" t="s">
        <v>19</v>
      </c>
      <c r="H37" s="59" t="s">
        <v>34</v>
      </c>
      <c r="I37" s="60" t="s">
        <v>42</v>
      </c>
      <c r="J37" s="60"/>
      <c r="K37" s="59" t="s">
        <v>155</v>
      </c>
      <c r="L37" s="59" t="s">
        <v>132</v>
      </c>
      <c r="M37" s="59" t="s">
        <v>135</v>
      </c>
      <c r="N37" s="60"/>
      <c r="O37" s="59" t="s">
        <v>83</v>
      </c>
      <c r="P37" s="59" t="s">
        <v>30</v>
      </c>
      <c r="Q37" s="59" t="s">
        <v>186</v>
      </c>
      <c r="R37" s="59" t="s">
        <v>61</v>
      </c>
      <c r="S37" s="59">
        <v>460</v>
      </c>
      <c r="T37" s="59" t="str">
        <f>"366,9420"</f>
        <v>366,9420</v>
      </c>
      <c r="U37" s="59"/>
    </row>
    <row r="38" spans="1:21">
      <c r="A38" s="63" t="s">
        <v>809</v>
      </c>
      <c r="B38" s="63" t="s">
        <v>810</v>
      </c>
      <c r="C38" s="63" t="s">
        <v>811</v>
      </c>
      <c r="D38" s="63" t="str">
        <f>"0,7650"</f>
        <v>0,7650</v>
      </c>
      <c r="E38" s="63" t="s">
        <v>812</v>
      </c>
      <c r="F38" s="63" t="s">
        <v>153</v>
      </c>
      <c r="G38" s="63" t="s">
        <v>43</v>
      </c>
      <c r="H38" s="63" t="s">
        <v>813</v>
      </c>
      <c r="I38" s="63" t="s">
        <v>67</v>
      </c>
      <c r="J38" s="64"/>
      <c r="K38" s="63" t="s">
        <v>173</v>
      </c>
      <c r="L38" s="64" t="s">
        <v>814</v>
      </c>
      <c r="M38" s="63" t="s">
        <v>814</v>
      </c>
      <c r="N38" s="64"/>
      <c r="O38" s="63" t="s">
        <v>21</v>
      </c>
      <c r="P38" s="63" t="s">
        <v>83</v>
      </c>
      <c r="Q38" s="63" t="s">
        <v>186</v>
      </c>
      <c r="R38" s="64"/>
      <c r="S38" s="63">
        <v>527.5</v>
      </c>
      <c r="T38" s="63" t="str">
        <f>"403,5639"</f>
        <v>403,5639</v>
      </c>
      <c r="U38" s="63"/>
    </row>
    <row r="39" spans="1:21">
      <c r="A39" s="63" t="s">
        <v>815</v>
      </c>
      <c r="B39" s="63" t="s">
        <v>816</v>
      </c>
      <c r="C39" s="63" t="s">
        <v>362</v>
      </c>
      <c r="D39" s="63" t="str">
        <f>"0,7484"</f>
        <v>0,7484</v>
      </c>
      <c r="E39" s="63" t="s">
        <v>120</v>
      </c>
      <c r="F39" s="63" t="s">
        <v>72</v>
      </c>
      <c r="G39" s="63" t="s">
        <v>30</v>
      </c>
      <c r="H39" s="63" t="s">
        <v>61</v>
      </c>
      <c r="I39" s="63" t="s">
        <v>295</v>
      </c>
      <c r="J39" s="64"/>
      <c r="K39" s="63" t="s">
        <v>23</v>
      </c>
      <c r="L39" s="63" t="s">
        <v>817</v>
      </c>
      <c r="M39" s="63" t="s">
        <v>173</v>
      </c>
      <c r="N39" s="64"/>
      <c r="O39" s="63" t="s">
        <v>186</v>
      </c>
      <c r="P39" s="64" t="s">
        <v>44</v>
      </c>
      <c r="Q39" s="63" t="s">
        <v>44</v>
      </c>
      <c r="R39" s="64"/>
      <c r="S39" s="63">
        <v>562.5</v>
      </c>
      <c r="T39" s="63" t="str">
        <f>"420,9750"</f>
        <v>420,9750</v>
      </c>
      <c r="U39" s="63"/>
    </row>
    <row r="40" spans="1:21">
      <c r="A40" s="61" t="s">
        <v>174</v>
      </c>
      <c r="B40" s="61" t="s">
        <v>175</v>
      </c>
      <c r="C40" s="61" t="s">
        <v>818</v>
      </c>
      <c r="D40" s="61" t="str">
        <f>"0,7590"</f>
        <v>0,7590</v>
      </c>
      <c r="E40" s="61" t="s">
        <v>767</v>
      </c>
      <c r="F40" s="61" t="s">
        <v>177</v>
      </c>
      <c r="G40" s="62" t="s">
        <v>21</v>
      </c>
      <c r="H40" s="62" t="s">
        <v>83</v>
      </c>
      <c r="I40" s="62" t="s">
        <v>83</v>
      </c>
      <c r="J40" s="62"/>
      <c r="K40" s="62" t="s">
        <v>20</v>
      </c>
      <c r="L40" s="62"/>
      <c r="M40" s="62"/>
      <c r="N40" s="62"/>
      <c r="O40" s="62" t="s">
        <v>52</v>
      </c>
      <c r="P40" s="62"/>
      <c r="Q40" s="62"/>
      <c r="R40" s="62"/>
      <c r="S40" s="61">
        <v>0</v>
      </c>
      <c r="T40" s="61" t="str">
        <f>"0,0000"</f>
        <v>0,0000</v>
      </c>
      <c r="U40" s="61" t="s">
        <v>182</v>
      </c>
    </row>
    <row r="42" spans="1:21" ht="15">
      <c r="A42" s="58" t="s">
        <v>189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1">
      <c r="A43" s="59" t="s">
        <v>819</v>
      </c>
      <c r="B43" s="59" t="s">
        <v>820</v>
      </c>
      <c r="C43" s="59" t="s">
        <v>821</v>
      </c>
      <c r="D43" s="59" t="str">
        <f>"0,7447"</f>
        <v>0,7447</v>
      </c>
      <c r="E43" s="59" t="s">
        <v>177</v>
      </c>
      <c r="F43" s="59" t="s">
        <v>822</v>
      </c>
      <c r="G43" s="59" t="s">
        <v>132</v>
      </c>
      <c r="H43" s="59" t="s">
        <v>121</v>
      </c>
      <c r="I43" s="59" t="s">
        <v>135</v>
      </c>
      <c r="J43" s="60"/>
      <c r="K43" s="59" t="s">
        <v>134</v>
      </c>
      <c r="L43" s="59" t="s">
        <v>125</v>
      </c>
      <c r="M43" s="59" t="s">
        <v>148</v>
      </c>
      <c r="N43" s="60"/>
      <c r="O43" s="59" t="s">
        <v>132</v>
      </c>
      <c r="P43" s="59" t="s">
        <v>477</v>
      </c>
      <c r="Q43" s="59" t="s">
        <v>136</v>
      </c>
      <c r="R43" s="60"/>
      <c r="S43" s="59">
        <v>260</v>
      </c>
      <c r="T43" s="59" t="str">
        <f>"193,6220"</f>
        <v>193,6220</v>
      </c>
      <c r="U43" s="59"/>
    </row>
    <row r="44" spans="1:21">
      <c r="A44" s="63" t="s">
        <v>823</v>
      </c>
      <c r="B44" s="63" t="s">
        <v>824</v>
      </c>
      <c r="C44" s="63" t="s">
        <v>825</v>
      </c>
      <c r="D44" s="63" t="str">
        <f>"0,7019"</f>
        <v>0,7019</v>
      </c>
      <c r="E44" s="63" t="s">
        <v>120</v>
      </c>
      <c r="F44" s="63" t="s">
        <v>826</v>
      </c>
      <c r="G44" s="63" t="s">
        <v>20</v>
      </c>
      <c r="H44" s="64" t="s">
        <v>54</v>
      </c>
      <c r="I44" s="63" t="s">
        <v>54</v>
      </c>
      <c r="J44" s="64"/>
      <c r="K44" s="64" t="s">
        <v>132</v>
      </c>
      <c r="L44" s="63" t="s">
        <v>121</v>
      </c>
      <c r="M44" s="63" t="s">
        <v>122</v>
      </c>
      <c r="N44" s="64"/>
      <c r="O44" s="63" t="s">
        <v>44</v>
      </c>
      <c r="P44" s="63" t="s">
        <v>211</v>
      </c>
      <c r="Q44" s="63" t="s">
        <v>180</v>
      </c>
      <c r="R44" s="64"/>
      <c r="S44" s="63">
        <v>510</v>
      </c>
      <c r="T44" s="63" t="str">
        <f>"357,9690"</f>
        <v>357,9690</v>
      </c>
      <c r="U44" s="63" t="s">
        <v>827</v>
      </c>
    </row>
    <row r="45" spans="1:21">
      <c r="A45" s="63" t="s">
        <v>828</v>
      </c>
      <c r="B45" s="63" t="s">
        <v>829</v>
      </c>
      <c r="C45" s="63" t="s">
        <v>830</v>
      </c>
      <c r="D45" s="63" t="str">
        <f>"0,7254"</f>
        <v>0,7254</v>
      </c>
      <c r="E45" s="63" t="s">
        <v>120</v>
      </c>
      <c r="F45" s="63" t="s">
        <v>282</v>
      </c>
      <c r="G45" s="63" t="s">
        <v>42</v>
      </c>
      <c r="H45" s="63" t="s">
        <v>43</v>
      </c>
      <c r="I45" s="64" t="s">
        <v>21</v>
      </c>
      <c r="J45" s="64"/>
      <c r="K45" s="63" t="s">
        <v>22</v>
      </c>
      <c r="L45" s="63" t="s">
        <v>187</v>
      </c>
      <c r="M45" s="64" t="s">
        <v>160</v>
      </c>
      <c r="N45" s="64"/>
      <c r="O45" s="63" t="s">
        <v>188</v>
      </c>
      <c r="P45" s="63" t="s">
        <v>831</v>
      </c>
      <c r="Q45" s="63" t="s">
        <v>565</v>
      </c>
      <c r="R45" s="64"/>
      <c r="S45" s="63">
        <v>490</v>
      </c>
      <c r="T45" s="63" t="str">
        <f>"355,4460"</f>
        <v>355,4460</v>
      </c>
      <c r="U45" s="63" t="s">
        <v>832</v>
      </c>
    </row>
    <row r="46" spans="1:21">
      <c r="A46" s="63" t="s">
        <v>833</v>
      </c>
      <c r="B46" s="63" t="s">
        <v>834</v>
      </c>
      <c r="C46" s="63" t="s">
        <v>835</v>
      </c>
      <c r="D46" s="63" t="str">
        <f>"0,6913"</f>
        <v>0,6913</v>
      </c>
      <c r="E46" s="63" t="s">
        <v>120</v>
      </c>
      <c r="F46" s="63" t="s">
        <v>826</v>
      </c>
      <c r="G46" s="63" t="s">
        <v>173</v>
      </c>
      <c r="H46" s="63" t="s">
        <v>836</v>
      </c>
      <c r="I46" s="64" t="s">
        <v>33</v>
      </c>
      <c r="J46" s="64"/>
      <c r="K46" s="63" t="s">
        <v>155</v>
      </c>
      <c r="L46" s="63" t="s">
        <v>132</v>
      </c>
      <c r="M46" s="64" t="s">
        <v>121</v>
      </c>
      <c r="N46" s="64"/>
      <c r="O46" s="63" t="s">
        <v>83</v>
      </c>
      <c r="P46" s="63" t="s">
        <v>831</v>
      </c>
      <c r="Q46" s="64" t="s">
        <v>186</v>
      </c>
      <c r="R46" s="64"/>
      <c r="S46" s="63">
        <v>435</v>
      </c>
      <c r="T46" s="63" t="str">
        <f>"300,6938"</f>
        <v>300,6938</v>
      </c>
      <c r="U46" s="63" t="s">
        <v>827</v>
      </c>
    </row>
    <row r="47" spans="1:21">
      <c r="A47" s="63" t="s">
        <v>837</v>
      </c>
      <c r="B47" s="63" t="s">
        <v>838</v>
      </c>
      <c r="C47" s="63" t="s">
        <v>839</v>
      </c>
      <c r="D47" s="63" t="str">
        <f>"0,7140"</f>
        <v>0,7140</v>
      </c>
      <c r="E47" s="63" t="s">
        <v>120</v>
      </c>
      <c r="F47" s="63" t="s">
        <v>153</v>
      </c>
      <c r="G47" s="64" t="s">
        <v>173</v>
      </c>
      <c r="H47" s="63" t="s">
        <v>173</v>
      </c>
      <c r="I47" s="63" t="s">
        <v>836</v>
      </c>
      <c r="J47" s="64"/>
      <c r="K47" s="63" t="s">
        <v>132</v>
      </c>
      <c r="L47" s="63" t="s">
        <v>121</v>
      </c>
      <c r="M47" s="64" t="s">
        <v>122</v>
      </c>
      <c r="N47" s="64"/>
      <c r="O47" s="63" t="s">
        <v>34</v>
      </c>
      <c r="P47" s="63" t="s">
        <v>43</v>
      </c>
      <c r="Q47" s="64" t="s">
        <v>580</v>
      </c>
      <c r="R47" s="64"/>
      <c r="S47" s="63">
        <v>407.5</v>
      </c>
      <c r="T47" s="63" t="str">
        <f>"290,9754"</f>
        <v>290,9754</v>
      </c>
      <c r="U47" s="63"/>
    </row>
    <row r="48" spans="1:21">
      <c r="A48" s="63" t="s">
        <v>840</v>
      </c>
      <c r="B48" s="63" t="s">
        <v>841</v>
      </c>
      <c r="C48" s="63" t="s">
        <v>842</v>
      </c>
      <c r="D48" s="63" t="str">
        <f>"0,7071"</f>
        <v>0,7071</v>
      </c>
      <c r="E48" s="63" t="s">
        <v>120</v>
      </c>
      <c r="F48" s="63" t="s">
        <v>843</v>
      </c>
      <c r="G48" s="63" t="s">
        <v>20</v>
      </c>
      <c r="H48" s="64" t="s">
        <v>43</v>
      </c>
      <c r="I48" s="63" t="s">
        <v>43</v>
      </c>
      <c r="J48" s="64"/>
      <c r="K48" s="63" t="s">
        <v>126</v>
      </c>
      <c r="L48" s="63" t="s">
        <v>173</v>
      </c>
      <c r="M48" s="64" t="s">
        <v>24</v>
      </c>
      <c r="N48" s="64"/>
      <c r="O48" s="63" t="s">
        <v>43</v>
      </c>
      <c r="P48" s="63" t="s">
        <v>21</v>
      </c>
      <c r="Q48" s="64" t="s">
        <v>83</v>
      </c>
      <c r="R48" s="64"/>
      <c r="S48" s="63">
        <v>480</v>
      </c>
      <c r="T48" s="63" t="str">
        <f>"339,4080"</f>
        <v>339,4080</v>
      </c>
      <c r="U48" s="63" t="s">
        <v>844</v>
      </c>
    </row>
    <row r="49" spans="1:21">
      <c r="A49" s="63" t="s">
        <v>845</v>
      </c>
      <c r="B49" s="63" t="s">
        <v>846</v>
      </c>
      <c r="C49" s="63" t="s">
        <v>847</v>
      </c>
      <c r="D49" s="63" t="str">
        <f>"0,7102"</f>
        <v>0,7102</v>
      </c>
      <c r="E49" s="63" t="s">
        <v>120</v>
      </c>
      <c r="F49" s="63" t="s">
        <v>826</v>
      </c>
      <c r="G49" s="63" t="s">
        <v>173</v>
      </c>
      <c r="H49" s="64" t="s">
        <v>19</v>
      </c>
      <c r="I49" s="63" t="s">
        <v>19</v>
      </c>
      <c r="J49" s="64"/>
      <c r="K49" s="63" t="s">
        <v>155</v>
      </c>
      <c r="L49" s="63" t="s">
        <v>121</v>
      </c>
      <c r="M49" s="63" t="s">
        <v>477</v>
      </c>
      <c r="N49" s="64"/>
      <c r="O49" s="63" t="s">
        <v>22</v>
      </c>
      <c r="P49" s="63" t="s">
        <v>32</v>
      </c>
      <c r="Q49" s="64"/>
      <c r="R49" s="64"/>
      <c r="S49" s="63">
        <v>382.5</v>
      </c>
      <c r="T49" s="63" t="str">
        <f>"271,6515"</f>
        <v>271,6515</v>
      </c>
      <c r="U49" s="63" t="s">
        <v>827</v>
      </c>
    </row>
    <row r="50" spans="1:21">
      <c r="A50" s="63" t="s">
        <v>190</v>
      </c>
      <c r="B50" s="63" t="s">
        <v>191</v>
      </c>
      <c r="C50" s="63" t="s">
        <v>192</v>
      </c>
      <c r="D50" s="63" t="str">
        <f>"0,6885"</f>
        <v>0,6885</v>
      </c>
      <c r="E50" s="63" t="s">
        <v>120</v>
      </c>
      <c r="F50" s="63" t="s">
        <v>193</v>
      </c>
      <c r="G50" s="63" t="s">
        <v>61</v>
      </c>
      <c r="H50" s="63" t="s">
        <v>848</v>
      </c>
      <c r="I50" s="64"/>
      <c r="J50" s="64"/>
      <c r="K50" s="63" t="s">
        <v>33</v>
      </c>
      <c r="L50" s="63" t="s">
        <v>194</v>
      </c>
      <c r="M50" s="64"/>
      <c r="N50" s="64"/>
      <c r="O50" s="63" t="s">
        <v>211</v>
      </c>
      <c r="P50" s="64" t="s">
        <v>36</v>
      </c>
      <c r="Q50" s="63" t="s">
        <v>36</v>
      </c>
      <c r="R50" s="64"/>
      <c r="S50" s="63">
        <v>620</v>
      </c>
      <c r="T50" s="63" t="str">
        <f>"426,9010"</f>
        <v>426,9010</v>
      </c>
      <c r="U50" s="63" t="s">
        <v>196</v>
      </c>
    </row>
    <row r="51" spans="1:21">
      <c r="A51" s="63" t="s">
        <v>849</v>
      </c>
      <c r="B51" s="63" t="s">
        <v>850</v>
      </c>
      <c r="C51" s="63" t="s">
        <v>851</v>
      </c>
      <c r="D51" s="63" t="str">
        <f>"0,7005"</f>
        <v>0,7005</v>
      </c>
      <c r="E51" s="63" t="s">
        <v>120</v>
      </c>
      <c r="F51" s="63" t="s">
        <v>852</v>
      </c>
      <c r="G51" s="63" t="s">
        <v>21</v>
      </c>
      <c r="H51" s="63" t="s">
        <v>188</v>
      </c>
      <c r="I51" s="64" t="s">
        <v>61</v>
      </c>
      <c r="J51" s="64"/>
      <c r="K51" s="63" t="s">
        <v>126</v>
      </c>
      <c r="L51" s="64" t="s">
        <v>24</v>
      </c>
      <c r="M51" s="64" t="s">
        <v>24</v>
      </c>
      <c r="N51" s="64"/>
      <c r="O51" s="63" t="s">
        <v>44</v>
      </c>
      <c r="P51" s="63" t="s">
        <v>211</v>
      </c>
      <c r="Q51" s="64" t="s">
        <v>35</v>
      </c>
      <c r="R51" s="64"/>
      <c r="S51" s="63">
        <v>545</v>
      </c>
      <c r="T51" s="63" t="str">
        <f>"381,7453"</f>
        <v>381,7453</v>
      </c>
      <c r="U51" s="63"/>
    </row>
    <row r="52" spans="1:21">
      <c r="A52" s="63" t="s">
        <v>853</v>
      </c>
      <c r="B52" s="63" t="s">
        <v>854</v>
      </c>
      <c r="C52" s="63" t="s">
        <v>855</v>
      </c>
      <c r="D52" s="63" t="str">
        <f>"0,7304"</f>
        <v>0,7304</v>
      </c>
      <c r="E52" s="63" t="s">
        <v>120</v>
      </c>
      <c r="F52" s="63" t="s">
        <v>72</v>
      </c>
      <c r="G52" s="63" t="s">
        <v>43</v>
      </c>
      <c r="H52" s="64" t="s">
        <v>21</v>
      </c>
      <c r="I52" s="64"/>
      <c r="J52" s="64"/>
      <c r="K52" s="63" t="s">
        <v>22</v>
      </c>
      <c r="L52" s="63" t="s">
        <v>149</v>
      </c>
      <c r="M52" s="63" t="s">
        <v>126</v>
      </c>
      <c r="N52" s="64"/>
      <c r="O52" s="63" t="s">
        <v>21</v>
      </c>
      <c r="P52" s="63" t="s">
        <v>186</v>
      </c>
      <c r="Q52" s="63" t="s">
        <v>44</v>
      </c>
      <c r="R52" s="64"/>
      <c r="S52" s="63">
        <v>510</v>
      </c>
      <c r="T52" s="63" t="str">
        <f>"372,5295"</f>
        <v>372,5295</v>
      </c>
      <c r="U52" s="63" t="s">
        <v>856</v>
      </c>
    </row>
    <row r="53" spans="1:21">
      <c r="A53" s="61" t="s">
        <v>857</v>
      </c>
      <c r="B53" s="61" t="s">
        <v>858</v>
      </c>
      <c r="C53" s="61" t="s">
        <v>859</v>
      </c>
      <c r="D53" s="61" t="str">
        <f>"0,6983"</f>
        <v>0,6983</v>
      </c>
      <c r="E53" s="61" t="s">
        <v>120</v>
      </c>
      <c r="F53" s="61" t="s">
        <v>153</v>
      </c>
      <c r="G53" s="61" t="s">
        <v>160</v>
      </c>
      <c r="H53" s="62" t="s">
        <v>149</v>
      </c>
      <c r="I53" s="62" t="s">
        <v>149</v>
      </c>
      <c r="J53" s="62"/>
      <c r="K53" s="62" t="s">
        <v>135</v>
      </c>
      <c r="L53" s="61" t="s">
        <v>135</v>
      </c>
      <c r="M53" s="62" t="s">
        <v>136</v>
      </c>
      <c r="N53" s="62"/>
      <c r="O53" s="62" t="s">
        <v>54</v>
      </c>
      <c r="P53" s="62" t="s">
        <v>54</v>
      </c>
      <c r="Q53" s="61" t="s">
        <v>54</v>
      </c>
      <c r="R53" s="62"/>
      <c r="S53" s="61">
        <v>390</v>
      </c>
      <c r="T53" s="61" t="str">
        <f>"272,3370"</f>
        <v>272,3370</v>
      </c>
      <c r="U53" s="61"/>
    </row>
    <row r="55" spans="1:21" ht="15">
      <c r="A55" s="58" t="s">
        <v>13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1">
      <c r="A56" s="59" t="s">
        <v>860</v>
      </c>
      <c r="B56" s="59" t="s">
        <v>861</v>
      </c>
      <c r="C56" s="59" t="s">
        <v>862</v>
      </c>
      <c r="D56" s="59" t="str">
        <f>"0,6629"</f>
        <v>0,6629</v>
      </c>
      <c r="E56" s="59" t="s">
        <v>475</v>
      </c>
      <c r="F56" s="59" t="s">
        <v>476</v>
      </c>
      <c r="G56" s="59" t="s">
        <v>30</v>
      </c>
      <c r="H56" s="59" t="s">
        <v>31</v>
      </c>
      <c r="I56" s="60" t="s">
        <v>46</v>
      </c>
      <c r="J56" s="60"/>
      <c r="K56" s="59" t="s">
        <v>126</v>
      </c>
      <c r="L56" s="59" t="s">
        <v>24</v>
      </c>
      <c r="M56" s="59" t="s">
        <v>836</v>
      </c>
      <c r="N56" s="60"/>
      <c r="O56" s="59" t="s">
        <v>35</v>
      </c>
      <c r="P56" s="59" t="s">
        <v>236</v>
      </c>
      <c r="Q56" s="59" t="s">
        <v>55</v>
      </c>
      <c r="R56" s="60"/>
      <c r="S56" s="59">
        <v>632.5</v>
      </c>
      <c r="T56" s="59" t="str">
        <f>"419,2842"</f>
        <v>419,2842</v>
      </c>
      <c r="U56" s="59"/>
    </row>
    <row r="57" spans="1:21">
      <c r="A57" s="63" t="s">
        <v>863</v>
      </c>
      <c r="B57" s="63" t="s">
        <v>864</v>
      </c>
      <c r="C57" s="63" t="s">
        <v>693</v>
      </c>
      <c r="D57" s="63" t="str">
        <f>"0,6456"</f>
        <v>0,6456</v>
      </c>
      <c r="E57" s="63" t="s">
        <v>767</v>
      </c>
      <c r="F57" s="63" t="s">
        <v>164</v>
      </c>
      <c r="G57" s="63" t="s">
        <v>43</v>
      </c>
      <c r="H57" s="63" t="s">
        <v>67</v>
      </c>
      <c r="I57" s="64" t="s">
        <v>831</v>
      </c>
      <c r="J57" s="64"/>
      <c r="K57" s="63" t="s">
        <v>121</v>
      </c>
      <c r="L57" s="63" t="s">
        <v>136</v>
      </c>
      <c r="M57" s="63" t="s">
        <v>22</v>
      </c>
      <c r="N57" s="64"/>
      <c r="O57" s="63" t="s">
        <v>186</v>
      </c>
      <c r="P57" s="63" t="s">
        <v>44</v>
      </c>
      <c r="Q57" s="64" t="s">
        <v>52</v>
      </c>
      <c r="R57" s="64"/>
      <c r="S57" s="63">
        <v>510</v>
      </c>
      <c r="T57" s="63" t="str">
        <f>"329,2560"</f>
        <v>329,2560</v>
      </c>
      <c r="U57" s="63"/>
    </row>
    <row r="58" spans="1:21">
      <c r="A58" s="63" t="s">
        <v>865</v>
      </c>
      <c r="B58" s="63" t="s">
        <v>866</v>
      </c>
      <c r="C58" s="63" t="s">
        <v>867</v>
      </c>
      <c r="D58" s="63" t="str">
        <f>"0,6618"</f>
        <v>0,6618</v>
      </c>
      <c r="E58" s="63" t="s">
        <v>120</v>
      </c>
      <c r="F58" s="63" t="s">
        <v>826</v>
      </c>
      <c r="G58" s="64" t="s">
        <v>33</v>
      </c>
      <c r="H58" s="63" t="s">
        <v>178</v>
      </c>
      <c r="I58" s="63" t="s">
        <v>179</v>
      </c>
      <c r="J58" s="64"/>
      <c r="K58" s="63" t="s">
        <v>135</v>
      </c>
      <c r="L58" s="63" t="s">
        <v>136</v>
      </c>
      <c r="M58" s="63" t="s">
        <v>187</v>
      </c>
      <c r="N58" s="64"/>
      <c r="O58" s="64" t="s">
        <v>55</v>
      </c>
      <c r="P58" s="64"/>
      <c r="Q58" s="64"/>
      <c r="R58" s="64"/>
      <c r="S58" s="63">
        <v>0</v>
      </c>
      <c r="T58" s="63" t="str">
        <f>"0,0000"</f>
        <v>0,0000</v>
      </c>
      <c r="U58" s="63" t="s">
        <v>827</v>
      </c>
    </row>
    <row r="59" spans="1:21">
      <c r="A59" s="63" t="s">
        <v>868</v>
      </c>
      <c r="B59" s="63" t="s">
        <v>869</v>
      </c>
      <c r="C59" s="63" t="s">
        <v>870</v>
      </c>
      <c r="D59" s="63" t="str">
        <f>"0,6487"</f>
        <v>0,6487</v>
      </c>
      <c r="E59" s="63" t="s">
        <v>120</v>
      </c>
      <c r="F59" s="63" t="s">
        <v>826</v>
      </c>
      <c r="G59" s="63" t="s">
        <v>34</v>
      </c>
      <c r="H59" s="64" t="s">
        <v>235</v>
      </c>
      <c r="I59" s="64" t="s">
        <v>235</v>
      </c>
      <c r="J59" s="64"/>
      <c r="K59" s="63" t="s">
        <v>123</v>
      </c>
      <c r="L59" s="63" t="s">
        <v>160</v>
      </c>
      <c r="M59" s="64" t="s">
        <v>149</v>
      </c>
      <c r="N59" s="64"/>
      <c r="O59" s="64" t="s">
        <v>207</v>
      </c>
      <c r="P59" s="64"/>
      <c r="Q59" s="64"/>
      <c r="R59" s="64"/>
      <c r="S59" s="63">
        <v>0</v>
      </c>
      <c r="T59" s="63" t="str">
        <f>"0,0000"</f>
        <v>0,0000</v>
      </c>
      <c r="U59" s="63" t="s">
        <v>827</v>
      </c>
    </row>
    <row r="60" spans="1:21">
      <c r="A60" s="63" t="s">
        <v>871</v>
      </c>
      <c r="B60" s="63" t="s">
        <v>872</v>
      </c>
      <c r="C60" s="63" t="s">
        <v>873</v>
      </c>
      <c r="D60" s="63" t="str">
        <f>"0,6471"</f>
        <v>0,6471</v>
      </c>
      <c r="E60" s="63" t="s">
        <v>120</v>
      </c>
      <c r="F60" s="63" t="s">
        <v>874</v>
      </c>
      <c r="G60" s="63" t="s">
        <v>61</v>
      </c>
      <c r="H60" s="63" t="s">
        <v>211</v>
      </c>
      <c r="I60" s="63" t="s">
        <v>52</v>
      </c>
      <c r="J60" s="64"/>
      <c r="K60" s="63" t="s">
        <v>34</v>
      </c>
      <c r="L60" s="63" t="s">
        <v>178</v>
      </c>
      <c r="M60" s="63" t="s">
        <v>179</v>
      </c>
      <c r="N60" s="64"/>
      <c r="O60" s="63" t="s">
        <v>66</v>
      </c>
      <c r="P60" s="63" t="s">
        <v>207</v>
      </c>
      <c r="Q60" s="64" t="s">
        <v>55</v>
      </c>
      <c r="R60" s="64"/>
      <c r="S60" s="63">
        <v>657.5</v>
      </c>
      <c r="T60" s="63" t="str">
        <f>"425,5011"</f>
        <v>425,5011</v>
      </c>
      <c r="U60" s="63"/>
    </row>
    <row r="61" spans="1:21">
      <c r="A61" s="63" t="s">
        <v>203</v>
      </c>
      <c r="B61" s="63" t="s">
        <v>204</v>
      </c>
      <c r="C61" s="63" t="s">
        <v>218</v>
      </c>
      <c r="D61" s="63" t="str">
        <f>"0,6540"</f>
        <v>0,6540</v>
      </c>
      <c r="E61" s="63" t="s">
        <v>120</v>
      </c>
      <c r="F61" s="63" t="s">
        <v>206</v>
      </c>
      <c r="G61" s="63" t="s">
        <v>83</v>
      </c>
      <c r="H61" s="63" t="s">
        <v>30</v>
      </c>
      <c r="I61" s="63" t="s">
        <v>61</v>
      </c>
      <c r="J61" s="64"/>
      <c r="K61" s="64" t="s">
        <v>21</v>
      </c>
      <c r="L61" s="63" t="s">
        <v>21</v>
      </c>
      <c r="M61" s="64" t="s">
        <v>875</v>
      </c>
      <c r="N61" s="64"/>
      <c r="O61" s="63" t="s">
        <v>36</v>
      </c>
      <c r="P61" s="64" t="s">
        <v>207</v>
      </c>
      <c r="Q61" s="64" t="s">
        <v>876</v>
      </c>
      <c r="R61" s="64"/>
      <c r="S61" s="63">
        <v>630</v>
      </c>
      <c r="T61" s="63" t="str">
        <f>"412,0200"</f>
        <v>412,0200</v>
      </c>
      <c r="U61" s="63"/>
    </row>
    <row r="62" spans="1:21">
      <c r="A62" s="63" t="s">
        <v>877</v>
      </c>
      <c r="B62" s="63" t="s">
        <v>878</v>
      </c>
      <c r="C62" s="63" t="s">
        <v>879</v>
      </c>
      <c r="D62" s="63" t="str">
        <f>"0,6557"</f>
        <v>0,6557</v>
      </c>
      <c r="E62" s="63" t="s">
        <v>120</v>
      </c>
      <c r="F62" s="63" t="s">
        <v>147</v>
      </c>
      <c r="G62" s="63" t="s">
        <v>30</v>
      </c>
      <c r="H62" s="63" t="s">
        <v>378</v>
      </c>
      <c r="I62" s="63" t="s">
        <v>848</v>
      </c>
      <c r="J62" s="64"/>
      <c r="K62" s="63" t="s">
        <v>32</v>
      </c>
      <c r="L62" s="63" t="s">
        <v>19</v>
      </c>
      <c r="M62" s="64" t="s">
        <v>33</v>
      </c>
      <c r="N62" s="64"/>
      <c r="O62" s="63" t="s">
        <v>61</v>
      </c>
      <c r="P62" s="63" t="s">
        <v>211</v>
      </c>
      <c r="Q62" s="64" t="s">
        <v>36</v>
      </c>
      <c r="R62" s="64"/>
      <c r="S62" s="63">
        <v>592.5</v>
      </c>
      <c r="T62" s="63" t="str">
        <f>"388,4726"</f>
        <v>388,4726</v>
      </c>
      <c r="U62" s="63"/>
    </row>
    <row r="63" spans="1:21">
      <c r="A63" s="63" t="s">
        <v>880</v>
      </c>
      <c r="B63" s="63" t="s">
        <v>881</v>
      </c>
      <c r="C63" s="63" t="s">
        <v>882</v>
      </c>
      <c r="D63" s="63" t="str">
        <f>"0,6477"</f>
        <v>0,6477</v>
      </c>
      <c r="E63" s="63" t="s">
        <v>120</v>
      </c>
      <c r="F63" s="63" t="s">
        <v>72</v>
      </c>
      <c r="G63" s="63" t="s">
        <v>21</v>
      </c>
      <c r="H63" s="63" t="s">
        <v>83</v>
      </c>
      <c r="I63" s="64" t="s">
        <v>186</v>
      </c>
      <c r="J63" s="64"/>
      <c r="K63" s="64" t="s">
        <v>883</v>
      </c>
      <c r="L63" s="63" t="s">
        <v>265</v>
      </c>
      <c r="M63" s="64" t="s">
        <v>34</v>
      </c>
      <c r="N63" s="64"/>
      <c r="O63" s="64" t="s">
        <v>211</v>
      </c>
      <c r="P63" s="63" t="s">
        <v>35</v>
      </c>
      <c r="Q63" s="63" t="s">
        <v>181</v>
      </c>
      <c r="R63" s="64"/>
      <c r="S63" s="63">
        <v>585</v>
      </c>
      <c r="T63" s="63" t="str">
        <f>"378,8753"</f>
        <v>378,8753</v>
      </c>
      <c r="U63" s="63"/>
    </row>
    <row r="64" spans="1:21">
      <c r="A64" s="63" t="s">
        <v>884</v>
      </c>
      <c r="B64" s="63" t="s">
        <v>885</v>
      </c>
      <c r="C64" s="63" t="s">
        <v>886</v>
      </c>
      <c r="D64" s="63" t="str">
        <f>"0,6451"</f>
        <v>0,6451</v>
      </c>
      <c r="E64" s="63" t="s">
        <v>120</v>
      </c>
      <c r="F64" s="63" t="s">
        <v>72</v>
      </c>
      <c r="G64" s="63" t="s">
        <v>83</v>
      </c>
      <c r="H64" s="64" t="s">
        <v>580</v>
      </c>
      <c r="I64" s="63" t="s">
        <v>30</v>
      </c>
      <c r="J64" s="64"/>
      <c r="K64" s="63" t="s">
        <v>173</v>
      </c>
      <c r="L64" s="64" t="s">
        <v>400</v>
      </c>
      <c r="M64" s="63" t="s">
        <v>400</v>
      </c>
      <c r="N64" s="64"/>
      <c r="O64" s="63" t="s">
        <v>211</v>
      </c>
      <c r="P64" s="64" t="s">
        <v>35</v>
      </c>
      <c r="Q64" s="64" t="s">
        <v>35</v>
      </c>
      <c r="R64" s="64"/>
      <c r="S64" s="63">
        <v>557.5</v>
      </c>
      <c r="T64" s="63" t="str">
        <f>"359,6432"</f>
        <v>359,6432</v>
      </c>
      <c r="U64" s="63"/>
    </row>
    <row r="65" spans="1:21">
      <c r="A65" s="63" t="s">
        <v>887</v>
      </c>
      <c r="B65" s="63" t="s">
        <v>888</v>
      </c>
      <c r="C65" s="63" t="s">
        <v>512</v>
      </c>
      <c r="D65" s="63" t="str">
        <f>"0,6497"</f>
        <v>0,6497</v>
      </c>
      <c r="E65" s="63" t="s">
        <v>532</v>
      </c>
      <c r="F65" s="63" t="s">
        <v>533</v>
      </c>
      <c r="G65" s="63" t="s">
        <v>227</v>
      </c>
      <c r="H65" s="64" t="s">
        <v>254</v>
      </c>
      <c r="I65" s="63" t="s">
        <v>254</v>
      </c>
      <c r="J65" s="64"/>
      <c r="K65" s="63" t="s">
        <v>23</v>
      </c>
      <c r="L65" s="63" t="s">
        <v>817</v>
      </c>
      <c r="M65" s="64" t="s">
        <v>173</v>
      </c>
      <c r="N65" s="64"/>
      <c r="O65" s="63" t="s">
        <v>35</v>
      </c>
      <c r="P65" s="64" t="s">
        <v>36</v>
      </c>
      <c r="Q65" s="64" t="s">
        <v>36</v>
      </c>
      <c r="R65" s="64"/>
      <c r="S65" s="63">
        <v>555</v>
      </c>
      <c r="T65" s="63" t="str">
        <f>"360,6112"</f>
        <v>360,6112</v>
      </c>
      <c r="U65" s="63"/>
    </row>
    <row r="66" spans="1:21">
      <c r="A66" s="63" t="s">
        <v>889</v>
      </c>
      <c r="B66" s="63" t="s">
        <v>890</v>
      </c>
      <c r="C66" s="63" t="s">
        <v>891</v>
      </c>
      <c r="D66" s="63" t="str">
        <f>"0,6461"</f>
        <v>0,6461</v>
      </c>
      <c r="E66" s="63" t="s">
        <v>120</v>
      </c>
      <c r="F66" s="63" t="s">
        <v>72</v>
      </c>
      <c r="G66" s="63" t="s">
        <v>173</v>
      </c>
      <c r="H66" s="64" t="s">
        <v>19</v>
      </c>
      <c r="I66" s="63" t="s">
        <v>19</v>
      </c>
      <c r="J66" s="64"/>
      <c r="K66" s="63" t="s">
        <v>135</v>
      </c>
      <c r="L66" s="64" t="s">
        <v>123</v>
      </c>
      <c r="M66" s="63" t="s">
        <v>123</v>
      </c>
      <c r="N66" s="64"/>
      <c r="O66" s="63" t="s">
        <v>67</v>
      </c>
      <c r="P66" s="63" t="s">
        <v>30</v>
      </c>
      <c r="Q66" s="63" t="s">
        <v>565</v>
      </c>
      <c r="R66" s="64"/>
      <c r="S66" s="63">
        <v>460</v>
      </c>
      <c r="T66" s="63" t="str">
        <f>"297,2290"</f>
        <v>297,2290</v>
      </c>
      <c r="U66" s="63" t="s">
        <v>892</v>
      </c>
    </row>
    <row r="67" spans="1:21">
      <c r="A67" s="63" t="s">
        <v>893</v>
      </c>
      <c r="B67" s="63" t="s">
        <v>894</v>
      </c>
      <c r="C67" s="63" t="s">
        <v>373</v>
      </c>
      <c r="D67" s="63" t="str">
        <f>"0,6503"</f>
        <v>0,6503</v>
      </c>
      <c r="E67" s="63" t="s">
        <v>120</v>
      </c>
      <c r="F67" s="63" t="s">
        <v>72</v>
      </c>
      <c r="G67" s="63" t="s">
        <v>173</v>
      </c>
      <c r="H67" s="64" t="s">
        <v>19</v>
      </c>
      <c r="I67" s="64" t="s">
        <v>19</v>
      </c>
      <c r="J67" s="64"/>
      <c r="K67" s="64" t="s">
        <v>359</v>
      </c>
      <c r="L67" s="63" t="s">
        <v>359</v>
      </c>
      <c r="M67" s="64" t="s">
        <v>121</v>
      </c>
      <c r="N67" s="64"/>
      <c r="O67" s="63" t="s">
        <v>20</v>
      </c>
      <c r="P67" s="63" t="s">
        <v>43</v>
      </c>
      <c r="Q67" s="63" t="s">
        <v>21</v>
      </c>
      <c r="R67" s="64"/>
      <c r="S67" s="63">
        <v>402.5</v>
      </c>
      <c r="T67" s="63" t="str">
        <f>"261,7256"</f>
        <v>261,7256</v>
      </c>
      <c r="U67" s="63"/>
    </row>
    <row r="68" spans="1:21">
      <c r="A68" s="63" t="s">
        <v>887</v>
      </c>
      <c r="B68" s="63" t="s">
        <v>895</v>
      </c>
      <c r="C68" s="63" t="s">
        <v>512</v>
      </c>
      <c r="D68" s="63" t="str">
        <f>"0,7232"</f>
        <v>0,7232</v>
      </c>
      <c r="E68" s="63" t="s">
        <v>532</v>
      </c>
      <c r="F68" s="63" t="s">
        <v>533</v>
      </c>
      <c r="G68" s="63" t="s">
        <v>227</v>
      </c>
      <c r="H68" s="64" t="s">
        <v>254</v>
      </c>
      <c r="I68" s="63" t="s">
        <v>254</v>
      </c>
      <c r="J68" s="64"/>
      <c r="K68" s="63" t="s">
        <v>23</v>
      </c>
      <c r="L68" s="63" t="s">
        <v>817</v>
      </c>
      <c r="M68" s="64" t="s">
        <v>173</v>
      </c>
      <c r="N68" s="64"/>
      <c r="O68" s="63" t="s">
        <v>35</v>
      </c>
      <c r="P68" s="64" t="s">
        <v>36</v>
      </c>
      <c r="Q68" s="64" t="s">
        <v>36</v>
      </c>
      <c r="R68" s="64"/>
      <c r="S68" s="63">
        <v>555</v>
      </c>
      <c r="T68" s="63" t="str">
        <f>"401,3603"</f>
        <v>401,3603</v>
      </c>
      <c r="U68" s="63"/>
    </row>
    <row r="69" spans="1:21">
      <c r="A69" s="61" t="s">
        <v>896</v>
      </c>
      <c r="B69" s="61" t="s">
        <v>897</v>
      </c>
      <c r="C69" s="61" t="s">
        <v>898</v>
      </c>
      <c r="D69" s="61" t="str">
        <f>"0,9859"</f>
        <v>0,9859</v>
      </c>
      <c r="E69" s="61" t="s">
        <v>767</v>
      </c>
      <c r="F69" s="61" t="s">
        <v>899</v>
      </c>
      <c r="G69" s="61" t="s">
        <v>173</v>
      </c>
      <c r="H69" s="61" t="s">
        <v>32</v>
      </c>
      <c r="I69" s="61" t="s">
        <v>33</v>
      </c>
      <c r="J69" s="62"/>
      <c r="K69" s="61" t="s">
        <v>132</v>
      </c>
      <c r="L69" s="61" t="s">
        <v>121</v>
      </c>
      <c r="M69" s="62" t="s">
        <v>135</v>
      </c>
      <c r="N69" s="62"/>
      <c r="O69" s="61" t="s">
        <v>43</v>
      </c>
      <c r="P69" s="61" t="s">
        <v>83</v>
      </c>
      <c r="Q69" s="61" t="s">
        <v>30</v>
      </c>
      <c r="R69" s="62"/>
      <c r="S69" s="61">
        <v>445</v>
      </c>
      <c r="T69" s="61" t="str">
        <f>"438,7377"</f>
        <v>438,7377</v>
      </c>
      <c r="U69" s="61"/>
    </row>
    <row r="71" spans="1:21" ht="15">
      <c r="A71" s="58" t="s">
        <v>25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1">
      <c r="A72" s="59" t="s">
        <v>900</v>
      </c>
      <c r="B72" s="59" t="s">
        <v>901</v>
      </c>
      <c r="C72" s="59" t="s">
        <v>521</v>
      </c>
      <c r="D72" s="59" t="str">
        <f>"0,6184"</f>
        <v>0,6184</v>
      </c>
      <c r="E72" s="59" t="s">
        <v>120</v>
      </c>
      <c r="F72" s="59" t="s">
        <v>874</v>
      </c>
      <c r="G72" s="59" t="s">
        <v>43</v>
      </c>
      <c r="H72" s="59" t="s">
        <v>902</v>
      </c>
      <c r="I72" s="60" t="s">
        <v>83</v>
      </c>
      <c r="J72" s="60"/>
      <c r="K72" s="59" t="s">
        <v>23</v>
      </c>
      <c r="L72" s="59" t="s">
        <v>817</v>
      </c>
      <c r="M72" s="59" t="s">
        <v>173</v>
      </c>
      <c r="N72" s="60"/>
      <c r="O72" s="59" t="s">
        <v>61</v>
      </c>
      <c r="P72" s="59" t="s">
        <v>31</v>
      </c>
      <c r="Q72" s="60" t="s">
        <v>52</v>
      </c>
      <c r="R72" s="60"/>
      <c r="S72" s="59">
        <v>535</v>
      </c>
      <c r="T72" s="59" t="str">
        <f>"330,8707"</f>
        <v>330,8707</v>
      </c>
      <c r="U72" s="59"/>
    </row>
    <row r="73" spans="1:21">
      <c r="A73" s="63" t="s">
        <v>903</v>
      </c>
      <c r="B73" s="63" t="s">
        <v>904</v>
      </c>
      <c r="C73" s="63" t="s">
        <v>905</v>
      </c>
      <c r="D73" s="63" t="str">
        <f>"0,6181"</f>
        <v>0,6181</v>
      </c>
      <c r="E73" s="63" t="s">
        <v>120</v>
      </c>
      <c r="F73" s="63" t="s">
        <v>153</v>
      </c>
      <c r="G73" s="64" t="s">
        <v>21</v>
      </c>
      <c r="H73" s="63" t="s">
        <v>67</v>
      </c>
      <c r="I73" s="64" t="s">
        <v>30</v>
      </c>
      <c r="J73" s="64"/>
      <c r="K73" s="63" t="s">
        <v>23</v>
      </c>
      <c r="L73" s="63" t="s">
        <v>817</v>
      </c>
      <c r="M73" s="63" t="s">
        <v>173</v>
      </c>
      <c r="N73" s="64"/>
      <c r="O73" s="64" t="s">
        <v>61</v>
      </c>
      <c r="P73" s="64" t="s">
        <v>61</v>
      </c>
      <c r="Q73" s="64" t="s">
        <v>61</v>
      </c>
      <c r="R73" s="64"/>
      <c r="S73" s="63">
        <v>0</v>
      </c>
      <c r="T73" s="63" t="str">
        <f>"0,0000"</f>
        <v>0,0000</v>
      </c>
      <c r="U73" s="63"/>
    </row>
    <row r="74" spans="1:21">
      <c r="A74" s="63" t="s">
        <v>906</v>
      </c>
      <c r="B74" s="63" t="s">
        <v>907</v>
      </c>
      <c r="C74" s="63" t="s">
        <v>908</v>
      </c>
      <c r="D74" s="63" t="str">
        <f>"0,6213"</f>
        <v>0,6213</v>
      </c>
      <c r="E74" s="63" t="s">
        <v>909</v>
      </c>
      <c r="F74" s="63" t="s">
        <v>910</v>
      </c>
      <c r="G74" s="63" t="s">
        <v>24</v>
      </c>
      <c r="H74" s="63" t="s">
        <v>32</v>
      </c>
      <c r="I74" s="64"/>
      <c r="J74" s="64"/>
      <c r="K74" s="64" t="s">
        <v>173</v>
      </c>
      <c r="L74" s="63" t="s">
        <v>173</v>
      </c>
      <c r="M74" s="63" t="s">
        <v>400</v>
      </c>
      <c r="N74" s="64"/>
      <c r="O74" s="63" t="s">
        <v>67</v>
      </c>
      <c r="P74" s="63" t="s">
        <v>188</v>
      </c>
      <c r="Q74" s="63" t="s">
        <v>30</v>
      </c>
      <c r="R74" s="64"/>
      <c r="S74" s="63">
        <v>472.5</v>
      </c>
      <c r="T74" s="63" t="str">
        <f>"293,5879"</f>
        <v>293,5879</v>
      </c>
      <c r="U74" s="63"/>
    </row>
    <row r="75" spans="1:21">
      <c r="A75" s="63" t="s">
        <v>911</v>
      </c>
      <c r="B75" s="63" t="s">
        <v>912</v>
      </c>
      <c r="C75" s="63" t="s">
        <v>913</v>
      </c>
      <c r="D75" s="63" t="str">
        <f>"0,6137"</f>
        <v>0,6137</v>
      </c>
      <c r="E75" s="63" t="s">
        <v>177</v>
      </c>
      <c r="F75" s="63" t="s">
        <v>177</v>
      </c>
      <c r="G75" s="63" t="s">
        <v>36</v>
      </c>
      <c r="H75" s="63" t="s">
        <v>66</v>
      </c>
      <c r="I75" s="63" t="s">
        <v>207</v>
      </c>
      <c r="J75" s="64"/>
      <c r="K75" s="63" t="s">
        <v>43</v>
      </c>
      <c r="L75" s="63" t="s">
        <v>21</v>
      </c>
      <c r="M75" s="64" t="s">
        <v>83</v>
      </c>
      <c r="N75" s="64"/>
      <c r="O75" s="64" t="s">
        <v>73</v>
      </c>
      <c r="P75" s="63" t="s">
        <v>73</v>
      </c>
      <c r="Q75" s="64" t="s">
        <v>76</v>
      </c>
      <c r="R75" s="64"/>
      <c r="S75" s="63">
        <v>740</v>
      </c>
      <c r="T75" s="63" t="str">
        <f>"454,1750"</f>
        <v>454,1750</v>
      </c>
      <c r="U75" s="63"/>
    </row>
    <row r="76" spans="1:21">
      <c r="A76" s="63" t="s">
        <v>914</v>
      </c>
      <c r="B76" s="63" t="s">
        <v>915</v>
      </c>
      <c r="C76" s="63" t="s">
        <v>916</v>
      </c>
      <c r="D76" s="63" t="str">
        <f>"0,6169"</f>
        <v>0,6169</v>
      </c>
      <c r="E76" s="63" t="s">
        <v>120</v>
      </c>
      <c r="F76" s="63" t="s">
        <v>65</v>
      </c>
      <c r="G76" s="63" t="s">
        <v>20</v>
      </c>
      <c r="H76" s="63" t="s">
        <v>43</v>
      </c>
      <c r="I76" s="64" t="s">
        <v>21</v>
      </c>
      <c r="J76" s="64"/>
      <c r="K76" s="63" t="s">
        <v>32</v>
      </c>
      <c r="L76" s="64" t="s">
        <v>265</v>
      </c>
      <c r="M76" s="63" t="s">
        <v>265</v>
      </c>
      <c r="N76" s="64"/>
      <c r="O76" s="63" t="s">
        <v>67</v>
      </c>
      <c r="P76" s="63" t="s">
        <v>186</v>
      </c>
      <c r="Q76" s="63" t="s">
        <v>44</v>
      </c>
      <c r="R76" s="64"/>
      <c r="S76" s="63">
        <v>537.5</v>
      </c>
      <c r="T76" s="63" t="str">
        <f>"331,5569"</f>
        <v>331,5569</v>
      </c>
      <c r="U76" s="63"/>
    </row>
    <row r="77" spans="1:21">
      <c r="A77" s="63" t="s">
        <v>917</v>
      </c>
      <c r="B77" s="63" t="s">
        <v>918</v>
      </c>
      <c r="C77" s="63" t="s">
        <v>444</v>
      </c>
      <c r="D77" s="63" t="str">
        <f>"0,6222"</f>
        <v>0,6222</v>
      </c>
      <c r="E77" s="63" t="s">
        <v>120</v>
      </c>
      <c r="F77" s="63" t="s">
        <v>919</v>
      </c>
      <c r="G77" s="64" t="s">
        <v>21</v>
      </c>
      <c r="H77" s="63" t="s">
        <v>21</v>
      </c>
      <c r="I77" s="64" t="s">
        <v>30</v>
      </c>
      <c r="J77" s="64"/>
      <c r="K77" s="63" t="s">
        <v>34</v>
      </c>
      <c r="L77" s="64" t="s">
        <v>42</v>
      </c>
      <c r="M77" s="64" t="s">
        <v>42</v>
      </c>
      <c r="N77" s="64"/>
      <c r="O77" s="63" t="s">
        <v>83</v>
      </c>
      <c r="P77" s="64" t="s">
        <v>30</v>
      </c>
      <c r="Q77" s="64"/>
      <c r="R77" s="64"/>
      <c r="S77" s="63">
        <v>525</v>
      </c>
      <c r="T77" s="63" t="str">
        <f>"326,6605"</f>
        <v>326,6605</v>
      </c>
      <c r="U77" s="63"/>
    </row>
    <row r="78" spans="1:21">
      <c r="A78" s="63" t="s">
        <v>920</v>
      </c>
      <c r="B78" s="63" t="s">
        <v>921</v>
      </c>
      <c r="C78" s="63" t="s">
        <v>922</v>
      </c>
      <c r="D78" s="63" t="str">
        <f>"0,6288"</f>
        <v>0,6288</v>
      </c>
      <c r="E78" s="63" t="s">
        <v>120</v>
      </c>
      <c r="F78" s="63" t="s">
        <v>923</v>
      </c>
      <c r="G78" s="63" t="s">
        <v>33</v>
      </c>
      <c r="H78" s="63" t="s">
        <v>20</v>
      </c>
      <c r="I78" s="63" t="s">
        <v>43</v>
      </c>
      <c r="J78" s="64"/>
      <c r="K78" s="63" t="s">
        <v>149</v>
      </c>
      <c r="L78" s="63" t="s">
        <v>126</v>
      </c>
      <c r="M78" s="64" t="s">
        <v>173</v>
      </c>
      <c r="N78" s="64"/>
      <c r="O78" s="63" t="s">
        <v>21</v>
      </c>
      <c r="P78" s="64" t="s">
        <v>30</v>
      </c>
      <c r="Q78" s="64" t="s">
        <v>30</v>
      </c>
      <c r="R78" s="64"/>
      <c r="S78" s="63">
        <v>475</v>
      </c>
      <c r="T78" s="63" t="str">
        <f>"298,6700"</f>
        <v>298,6700</v>
      </c>
      <c r="U78" s="63"/>
    </row>
    <row r="79" spans="1:21">
      <c r="A79" s="63" t="s">
        <v>924</v>
      </c>
      <c r="B79" s="63" t="s">
        <v>925</v>
      </c>
      <c r="C79" s="63" t="s">
        <v>926</v>
      </c>
      <c r="D79" s="63" t="str">
        <f>"0,6491"</f>
        <v>0,6491</v>
      </c>
      <c r="E79" s="63" t="s">
        <v>120</v>
      </c>
      <c r="F79" s="63" t="s">
        <v>927</v>
      </c>
      <c r="G79" s="63" t="s">
        <v>20</v>
      </c>
      <c r="H79" s="63" t="s">
        <v>43</v>
      </c>
      <c r="I79" s="64"/>
      <c r="J79" s="64"/>
      <c r="K79" s="63" t="s">
        <v>32</v>
      </c>
      <c r="L79" s="64"/>
      <c r="M79" s="64"/>
      <c r="N79" s="64"/>
      <c r="O79" s="64" t="s">
        <v>30</v>
      </c>
      <c r="P79" s="63" t="s">
        <v>30</v>
      </c>
      <c r="Q79" s="64"/>
      <c r="R79" s="64"/>
      <c r="S79" s="63">
        <v>510</v>
      </c>
      <c r="T79" s="63" t="str">
        <f>"331,0622"</f>
        <v>331,0622</v>
      </c>
      <c r="U79" s="63"/>
    </row>
    <row r="80" spans="1:21">
      <c r="A80" s="63" t="s">
        <v>928</v>
      </c>
      <c r="B80" s="63" t="s">
        <v>929</v>
      </c>
      <c r="C80" s="63" t="s">
        <v>518</v>
      </c>
      <c r="D80" s="63" t="str">
        <f>"0,7156"</f>
        <v>0,7156</v>
      </c>
      <c r="E80" s="63" t="s">
        <v>120</v>
      </c>
      <c r="F80" s="63" t="s">
        <v>51</v>
      </c>
      <c r="G80" s="63" t="s">
        <v>24</v>
      </c>
      <c r="H80" s="63" t="s">
        <v>19</v>
      </c>
      <c r="I80" s="64" t="s">
        <v>33</v>
      </c>
      <c r="J80" s="64"/>
      <c r="K80" s="63" t="s">
        <v>136</v>
      </c>
      <c r="L80" s="63" t="s">
        <v>22</v>
      </c>
      <c r="M80" s="63" t="s">
        <v>187</v>
      </c>
      <c r="N80" s="64"/>
      <c r="O80" s="63" t="s">
        <v>34</v>
      </c>
      <c r="P80" s="64" t="s">
        <v>42</v>
      </c>
      <c r="Q80" s="64" t="s">
        <v>42</v>
      </c>
      <c r="R80" s="64"/>
      <c r="S80" s="63">
        <v>412.5</v>
      </c>
      <c r="T80" s="63" t="str">
        <f>"295,1668"</f>
        <v>295,1668</v>
      </c>
      <c r="U80" s="63"/>
    </row>
    <row r="81" spans="1:21">
      <c r="A81" s="63" t="s">
        <v>930</v>
      </c>
      <c r="B81" s="63" t="s">
        <v>931</v>
      </c>
      <c r="C81" s="63" t="s">
        <v>932</v>
      </c>
      <c r="D81" s="63" t="str">
        <f>"0,8230"</f>
        <v>0,8230</v>
      </c>
      <c r="E81" s="63" t="s">
        <v>120</v>
      </c>
      <c r="F81" s="63" t="s">
        <v>933</v>
      </c>
      <c r="G81" s="63" t="s">
        <v>67</v>
      </c>
      <c r="H81" s="64" t="s">
        <v>30</v>
      </c>
      <c r="I81" s="64" t="s">
        <v>30</v>
      </c>
      <c r="J81" s="64"/>
      <c r="K81" s="63" t="s">
        <v>34</v>
      </c>
      <c r="L81" s="63" t="s">
        <v>20</v>
      </c>
      <c r="M81" s="63" t="s">
        <v>42</v>
      </c>
      <c r="N81" s="64"/>
      <c r="O81" s="63" t="s">
        <v>67</v>
      </c>
      <c r="P81" s="63" t="s">
        <v>30</v>
      </c>
      <c r="Q81" s="63" t="s">
        <v>61</v>
      </c>
      <c r="R81" s="64"/>
      <c r="S81" s="63">
        <v>560</v>
      </c>
      <c r="T81" s="63" t="str">
        <f>"460,8581"</f>
        <v>460,8581</v>
      </c>
      <c r="U81" s="63" t="s">
        <v>934</v>
      </c>
    </row>
    <row r="82" spans="1:21">
      <c r="A82" s="63" t="s">
        <v>935</v>
      </c>
      <c r="B82" s="63" t="s">
        <v>936</v>
      </c>
      <c r="C82" s="63" t="s">
        <v>937</v>
      </c>
      <c r="D82" s="63" t="str">
        <f>"1,2296"</f>
        <v>1,2296</v>
      </c>
      <c r="E82" s="63" t="s">
        <v>120</v>
      </c>
      <c r="F82" s="63" t="s">
        <v>72</v>
      </c>
      <c r="G82" s="63" t="s">
        <v>32</v>
      </c>
      <c r="H82" s="63" t="s">
        <v>33</v>
      </c>
      <c r="I82" s="64" t="s">
        <v>194</v>
      </c>
      <c r="J82" s="64"/>
      <c r="K82" s="63" t="s">
        <v>132</v>
      </c>
      <c r="L82" s="63" t="s">
        <v>135</v>
      </c>
      <c r="M82" s="64" t="s">
        <v>136</v>
      </c>
      <c r="N82" s="64"/>
      <c r="O82" s="63" t="s">
        <v>33</v>
      </c>
      <c r="P82" s="64" t="s">
        <v>20</v>
      </c>
      <c r="Q82" s="64"/>
      <c r="R82" s="64"/>
      <c r="S82" s="63">
        <v>400</v>
      </c>
      <c r="T82" s="63" t="str">
        <f>"491,8519"</f>
        <v>491,8519</v>
      </c>
      <c r="U82" s="63"/>
    </row>
    <row r="83" spans="1:21">
      <c r="A83" s="61" t="s">
        <v>938</v>
      </c>
      <c r="B83" s="61" t="s">
        <v>939</v>
      </c>
      <c r="C83" s="61" t="s">
        <v>940</v>
      </c>
      <c r="D83" s="61" t="str">
        <f>"1,2152"</f>
        <v>1,2152</v>
      </c>
      <c r="E83" s="61" t="s">
        <v>120</v>
      </c>
      <c r="F83" s="61" t="s">
        <v>941</v>
      </c>
      <c r="G83" s="61" t="s">
        <v>149</v>
      </c>
      <c r="H83" s="62" t="s">
        <v>173</v>
      </c>
      <c r="I83" s="62"/>
      <c r="J83" s="62"/>
      <c r="K83" s="62" t="s">
        <v>160</v>
      </c>
      <c r="L83" s="61" t="s">
        <v>149</v>
      </c>
      <c r="M83" s="62" t="s">
        <v>126</v>
      </c>
      <c r="N83" s="62"/>
      <c r="O83" s="61" t="s">
        <v>20</v>
      </c>
      <c r="P83" s="62" t="s">
        <v>43</v>
      </c>
      <c r="Q83" s="62" t="s">
        <v>43</v>
      </c>
      <c r="R83" s="62"/>
      <c r="S83" s="61">
        <v>400</v>
      </c>
      <c r="T83" s="61" t="str">
        <f>"486,0927"</f>
        <v>486,0927</v>
      </c>
      <c r="U83" s="61"/>
    </row>
    <row r="85" spans="1:21" ht="15">
      <c r="A85" s="58" t="s">
        <v>47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1">
      <c r="A86" s="59" t="s">
        <v>942</v>
      </c>
      <c r="B86" s="59" t="s">
        <v>943</v>
      </c>
      <c r="C86" s="59" t="s">
        <v>944</v>
      </c>
      <c r="D86" s="59" t="str">
        <f>"0,5993"</f>
        <v>0,5993</v>
      </c>
      <c r="E86" s="59" t="s">
        <v>120</v>
      </c>
      <c r="F86" s="59" t="s">
        <v>153</v>
      </c>
      <c r="G86" s="59" t="s">
        <v>30</v>
      </c>
      <c r="H86" s="59" t="s">
        <v>61</v>
      </c>
      <c r="I86" s="59" t="s">
        <v>945</v>
      </c>
      <c r="J86" s="60"/>
      <c r="K86" s="59" t="s">
        <v>32</v>
      </c>
      <c r="L86" s="59" t="s">
        <v>33</v>
      </c>
      <c r="M86" s="59" t="s">
        <v>34</v>
      </c>
      <c r="N86" s="60"/>
      <c r="O86" s="59" t="s">
        <v>240</v>
      </c>
      <c r="P86" s="59" t="s">
        <v>946</v>
      </c>
      <c r="Q86" s="60" t="s">
        <v>278</v>
      </c>
      <c r="R86" s="60"/>
      <c r="S86" s="59">
        <v>652.5</v>
      </c>
      <c r="T86" s="59" t="str">
        <f>"391,0433"</f>
        <v>391,0433</v>
      </c>
      <c r="U86" s="59" t="s">
        <v>947</v>
      </c>
    </row>
    <row r="87" spans="1:21">
      <c r="A87" s="63" t="s">
        <v>948</v>
      </c>
      <c r="B87" s="63" t="s">
        <v>949</v>
      </c>
      <c r="C87" s="63" t="s">
        <v>950</v>
      </c>
      <c r="D87" s="63" t="str">
        <f>"0,5821"</f>
        <v>0,5821</v>
      </c>
      <c r="E87" s="63" t="s">
        <v>120</v>
      </c>
      <c r="F87" s="63" t="s">
        <v>951</v>
      </c>
      <c r="G87" s="63" t="s">
        <v>188</v>
      </c>
      <c r="H87" s="63" t="s">
        <v>30</v>
      </c>
      <c r="I87" s="63" t="s">
        <v>186</v>
      </c>
      <c r="J87" s="64"/>
      <c r="K87" s="63" t="s">
        <v>19</v>
      </c>
      <c r="L87" s="63" t="s">
        <v>33</v>
      </c>
      <c r="M87" s="63" t="s">
        <v>34</v>
      </c>
      <c r="N87" s="64"/>
      <c r="O87" s="63" t="s">
        <v>36</v>
      </c>
      <c r="P87" s="63" t="s">
        <v>66</v>
      </c>
      <c r="Q87" s="64" t="s">
        <v>236</v>
      </c>
      <c r="R87" s="64"/>
      <c r="S87" s="63">
        <v>610</v>
      </c>
      <c r="T87" s="63" t="str">
        <f>"355,0505"</f>
        <v>355,0505</v>
      </c>
      <c r="U87" s="63"/>
    </row>
    <row r="88" spans="1:21">
      <c r="A88" s="63" t="s">
        <v>952</v>
      </c>
      <c r="B88" s="63" t="s">
        <v>953</v>
      </c>
      <c r="C88" s="63" t="s">
        <v>954</v>
      </c>
      <c r="D88" s="63" t="str">
        <f>"0,6093"</f>
        <v>0,6093</v>
      </c>
      <c r="E88" s="63" t="s">
        <v>120</v>
      </c>
      <c r="F88" s="63" t="s">
        <v>955</v>
      </c>
      <c r="G88" s="63" t="s">
        <v>30</v>
      </c>
      <c r="H88" s="64" t="s">
        <v>61</v>
      </c>
      <c r="I88" s="63" t="s">
        <v>61</v>
      </c>
      <c r="J88" s="64"/>
      <c r="K88" s="63" t="s">
        <v>32</v>
      </c>
      <c r="L88" s="63" t="s">
        <v>33</v>
      </c>
      <c r="M88" s="63" t="s">
        <v>34</v>
      </c>
      <c r="N88" s="64"/>
      <c r="O88" s="63" t="s">
        <v>31</v>
      </c>
      <c r="P88" s="63" t="s">
        <v>36</v>
      </c>
      <c r="Q88" s="64" t="s">
        <v>236</v>
      </c>
      <c r="R88" s="64"/>
      <c r="S88" s="63">
        <v>605</v>
      </c>
      <c r="T88" s="63" t="str">
        <f>"368,6265"</f>
        <v>368,6265</v>
      </c>
      <c r="U88" s="63" t="s">
        <v>956</v>
      </c>
    </row>
    <row r="89" spans="1:21">
      <c r="A89" s="63" t="s">
        <v>231</v>
      </c>
      <c r="B89" s="63" t="s">
        <v>232</v>
      </c>
      <c r="C89" s="63" t="s">
        <v>233</v>
      </c>
      <c r="D89" s="63" t="str">
        <f>"0,5835"</f>
        <v>0,5835</v>
      </c>
      <c r="E89" s="63" t="s">
        <v>120</v>
      </c>
      <c r="F89" s="63" t="s">
        <v>234</v>
      </c>
      <c r="G89" s="63" t="s">
        <v>66</v>
      </c>
      <c r="H89" s="63" t="s">
        <v>207</v>
      </c>
      <c r="I89" s="63" t="s">
        <v>55</v>
      </c>
      <c r="J89" s="64"/>
      <c r="K89" s="63" t="s">
        <v>20</v>
      </c>
      <c r="L89" s="63" t="s">
        <v>43</v>
      </c>
      <c r="M89" s="63" t="s">
        <v>54</v>
      </c>
      <c r="N89" s="64"/>
      <c r="O89" s="63" t="s">
        <v>53</v>
      </c>
      <c r="P89" s="63" t="s">
        <v>236</v>
      </c>
      <c r="Q89" s="63" t="s">
        <v>207</v>
      </c>
      <c r="R89" s="64"/>
      <c r="S89" s="63">
        <v>705</v>
      </c>
      <c r="T89" s="63" t="str">
        <f>"411,4027"</f>
        <v>411,4027</v>
      </c>
      <c r="U89" s="63"/>
    </row>
    <row r="90" spans="1:21">
      <c r="A90" s="63" t="s">
        <v>957</v>
      </c>
      <c r="B90" s="63" t="s">
        <v>958</v>
      </c>
      <c r="C90" s="63" t="s">
        <v>959</v>
      </c>
      <c r="D90" s="63" t="str">
        <f>"0,5922"</f>
        <v>0,5922</v>
      </c>
      <c r="E90" s="63" t="s">
        <v>163</v>
      </c>
      <c r="F90" s="63" t="s">
        <v>164</v>
      </c>
      <c r="G90" s="64" t="s">
        <v>31</v>
      </c>
      <c r="H90" s="64"/>
      <c r="I90" s="64"/>
      <c r="J90" s="64"/>
      <c r="K90" s="64"/>
      <c r="L90" s="64"/>
      <c r="M90" s="64"/>
      <c r="N90" s="64"/>
      <c r="O90" s="64" t="s">
        <v>236</v>
      </c>
      <c r="P90" s="64"/>
      <c r="Q90" s="64"/>
      <c r="R90" s="64"/>
      <c r="S90" s="63">
        <v>0</v>
      </c>
      <c r="T90" s="63" t="str">
        <f>"0,0000"</f>
        <v>0,0000</v>
      </c>
      <c r="U90" s="63"/>
    </row>
    <row r="91" spans="1:21">
      <c r="A91" s="63" t="s">
        <v>960</v>
      </c>
      <c r="B91" s="63" t="s">
        <v>961</v>
      </c>
      <c r="C91" s="63" t="s">
        <v>391</v>
      </c>
      <c r="D91" s="63" t="str">
        <f>"0,6099"</f>
        <v>0,6099</v>
      </c>
      <c r="E91" s="63" t="s">
        <v>120</v>
      </c>
      <c r="F91" s="63" t="s">
        <v>962</v>
      </c>
      <c r="G91" s="63" t="s">
        <v>30</v>
      </c>
      <c r="H91" s="63" t="s">
        <v>31</v>
      </c>
      <c r="I91" s="63" t="s">
        <v>211</v>
      </c>
      <c r="J91" s="64"/>
      <c r="K91" s="63" t="s">
        <v>32</v>
      </c>
      <c r="L91" s="63" t="s">
        <v>33</v>
      </c>
      <c r="M91" s="64" t="s">
        <v>34</v>
      </c>
      <c r="N91" s="64"/>
      <c r="O91" s="63" t="s">
        <v>36</v>
      </c>
      <c r="P91" s="64" t="s">
        <v>53</v>
      </c>
      <c r="Q91" s="63" t="s">
        <v>53</v>
      </c>
      <c r="R91" s="64"/>
      <c r="S91" s="63">
        <v>620</v>
      </c>
      <c r="T91" s="63" t="str">
        <f>"378,1668"</f>
        <v>378,1668</v>
      </c>
      <c r="U91" s="63"/>
    </row>
    <row r="92" spans="1:21">
      <c r="A92" s="63" t="s">
        <v>963</v>
      </c>
      <c r="B92" s="63" t="s">
        <v>964</v>
      </c>
      <c r="C92" s="63" t="s">
        <v>965</v>
      </c>
      <c r="D92" s="63" t="str">
        <f>"0,5909"</f>
        <v>0,5909</v>
      </c>
      <c r="E92" s="63" t="s">
        <v>120</v>
      </c>
      <c r="F92" s="63" t="s">
        <v>966</v>
      </c>
      <c r="G92" s="63" t="s">
        <v>61</v>
      </c>
      <c r="H92" s="63" t="s">
        <v>31</v>
      </c>
      <c r="I92" s="64" t="s">
        <v>211</v>
      </c>
      <c r="J92" s="64"/>
      <c r="K92" s="63" t="s">
        <v>19</v>
      </c>
      <c r="L92" s="63" t="s">
        <v>33</v>
      </c>
      <c r="M92" s="64" t="s">
        <v>34</v>
      </c>
      <c r="N92" s="64"/>
      <c r="O92" s="63" t="s">
        <v>61</v>
      </c>
      <c r="P92" s="64" t="s">
        <v>31</v>
      </c>
      <c r="Q92" s="63" t="s">
        <v>31</v>
      </c>
      <c r="R92" s="64"/>
      <c r="S92" s="63">
        <v>590</v>
      </c>
      <c r="T92" s="63" t="str">
        <f>"348,6313"</f>
        <v>348,6313</v>
      </c>
      <c r="U92" s="63"/>
    </row>
    <row r="93" spans="1:21">
      <c r="A93" s="61" t="s">
        <v>246</v>
      </c>
      <c r="B93" s="61" t="s">
        <v>247</v>
      </c>
      <c r="C93" s="61" t="s">
        <v>248</v>
      </c>
      <c r="D93" s="61" t="str">
        <f>"0,6265"</f>
        <v>0,6265</v>
      </c>
      <c r="E93" s="61" t="s">
        <v>120</v>
      </c>
      <c r="F93" s="61" t="s">
        <v>249</v>
      </c>
      <c r="G93" s="61" t="s">
        <v>34</v>
      </c>
      <c r="H93" s="61" t="s">
        <v>54</v>
      </c>
      <c r="I93" s="62"/>
      <c r="J93" s="62"/>
      <c r="K93" s="61" t="s">
        <v>126</v>
      </c>
      <c r="L93" s="61" t="s">
        <v>32</v>
      </c>
      <c r="M93" s="62"/>
      <c r="N93" s="62"/>
      <c r="O93" s="61" t="s">
        <v>21</v>
      </c>
      <c r="P93" s="61" t="s">
        <v>30</v>
      </c>
      <c r="Q93" s="62"/>
      <c r="R93" s="62"/>
      <c r="S93" s="61">
        <v>515</v>
      </c>
      <c r="T93" s="61" t="str">
        <f>"322,6361"</f>
        <v>322,6361</v>
      </c>
      <c r="U93" s="61"/>
    </row>
    <row r="95" spans="1:21" ht="15">
      <c r="A95" s="58" t="s">
        <v>68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1">
      <c r="A96" s="59" t="s">
        <v>967</v>
      </c>
      <c r="B96" s="59" t="s">
        <v>968</v>
      </c>
      <c r="C96" s="59" t="s">
        <v>969</v>
      </c>
      <c r="D96" s="59" t="str">
        <f>"0,5683"</f>
        <v>0,5683</v>
      </c>
      <c r="E96" s="59" t="s">
        <v>120</v>
      </c>
      <c r="F96" s="59" t="s">
        <v>29</v>
      </c>
      <c r="G96" s="59" t="s">
        <v>67</v>
      </c>
      <c r="H96" s="59" t="s">
        <v>188</v>
      </c>
      <c r="I96" s="59" t="s">
        <v>186</v>
      </c>
      <c r="J96" s="60"/>
      <c r="K96" s="59" t="s">
        <v>42</v>
      </c>
      <c r="L96" s="59" t="s">
        <v>54</v>
      </c>
      <c r="M96" s="59" t="s">
        <v>21</v>
      </c>
      <c r="N96" s="60"/>
      <c r="O96" s="59" t="s">
        <v>186</v>
      </c>
      <c r="P96" s="59" t="s">
        <v>44</v>
      </c>
      <c r="Q96" s="60" t="s">
        <v>31</v>
      </c>
      <c r="R96" s="60"/>
      <c r="S96" s="59">
        <v>600</v>
      </c>
      <c r="T96" s="59" t="str">
        <f>"340,9800"</f>
        <v>340,9800</v>
      </c>
      <c r="U96" s="59"/>
    </row>
    <row r="97" spans="1:21">
      <c r="A97" s="63" t="s">
        <v>970</v>
      </c>
      <c r="B97" s="63" t="s">
        <v>971</v>
      </c>
      <c r="C97" s="63" t="s">
        <v>715</v>
      </c>
      <c r="D97" s="63" t="str">
        <f>"0,5647"</f>
        <v>0,5647</v>
      </c>
      <c r="E97" s="63" t="s">
        <v>120</v>
      </c>
      <c r="F97" s="63" t="s">
        <v>972</v>
      </c>
      <c r="G97" s="64" t="s">
        <v>61</v>
      </c>
      <c r="H97" s="64" t="s">
        <v>61</v>
      </c>
      <c r="I97" s="63" t="s">
        <v>61</v>
      </c>
      <c r="J97" s="64"/>
      <c r="K97" s="63" t="s">
        <v>20</v>
      </c>
      <c r="L97" s="63" t="s">
        <v>43</v>
      </c>
      <c r="M97" s="63" t="s">
        <v>21</v>
      </c>
      <c r="N97" s="64"/>
      <c r="O97" s="63" t="s">
        <v>31</v>
      </c>
      <c r="P97" s="63" t="s">
        <v>36</v>
      </c>
      <c r="Q97" s="64" t="s">
        <v>236</v>
      </c>
      <c r="R97" s="64"/>
      <c r="S97" s="63">
        <v>630</v>
      </c>
      <c r="T97" s="63" t="str">
        <f>"355,7610"</f>
        <v>355,7610</v>
      </c>
      <c r="U97" s="63"/>
    </row>
    <row r="98" spans="1:21">
      <c r="A98" s="63" t="s">
        <v>973</v>
      </c>
      <c r="B98" s="63" t="s">
        <v>974</v>
      </c>
      <c r="C98" s="63" t="s">
        <v>263</v>
      </c>
      <c r="D98" s="63" t="str">
        <f>"0,5978"</f>
        <v>0,5978</v>
      </c>
      <c r="E98" s="63" t="s">
        <v>975</v>
      </c>
      <c r="F98" s="63" t="s">
        <v>976</v>
      </c>
      <c r="G98" s="63" t="s">
        <v>173</v>
      </c>
      <c r="H98" s="63" t="s">
        <v>33</v>
      </c>
      <c r="I98" s="64" t="s">
        <v>43</v>
      </c>
      <c r="J98" s="64"/>
      <c r="K98" s="63" t="s">
        <v>135</v>
      </c>
      <c r="L98" s="63" t="s">
        <v>22</v>
      </c>
      <c r="M98" s="63" t="s">
        <v>149</v>
      </c>
      <c r="N98" s="64"/>
      <c r="O98" s="63" t="s">
        <v>33</v>
      </c>
      <c r="P98" s="63" t="s">
        <v>43</v>
      </c>
      <c r="Q98" s="64"/>
      <c r="R98" s="64"/>
      <c r="S98" s="63">
        <v>440</v>
      </c>
      <c r="T98" s="63" t="str">
        <f>"263,0389"</f>
        <v>263,0389</v>
      </c>
      <c r="U98" s="63"/>
    </row>
    <row r="99" spans="1:21">
      <c r="A99" s="61" t="s">
        <v>977</v>
      </c>
      <c r="B99" s="61" t="s">
        <v>978</v>
      </c>
      <c r="C99" s="61" t="s">
        <v>979</v>
      </c>
      <c r="D99" s="61" t="str">
        <f>"0,6943"</f>
        <v>0,6943</v>
      </c>
      <c r="E99" s="61" t="s">
        <v>120</v>
      </c>
      <c r="F99" s="61" t="s">
        <v>955</v>
      </c>
      <c r="G99" s="62" t="s">
        <v>43</v>
      </c>
      <c r="H99" s="61" t="s">
        <v>43</v>
      </c>
      <c r="I99" s="61" t="s">
        <v>83</v>
      </c>
      <c r="J99" s="62"/>
      <c r="K99" s="61" t="s">
        <v>19</v>
      </c>
      <c r="L99" s="62" t="s">
        <v>33</v>
      </c>
      <c r="M99" s="61" t="s">
        <v>34</v>
      </c>
      <c r="N99" s="62"/>
      <c r="O99" s="61" t="s">
        <v>30</v>
      </c>
      <c r="P99" s="61" t="s">
        <v>44</v>
      </c>
      <c r="Q99" s="61" t="s">
        <v>52</v>
      </c>
      <c r="R99" s="62"/>
      <c r="S99" s="61">
        <v>575</v>
      </c>
      <c r="T99" s="61" t="str">
        <f>"399,2045"</f>
        <v>399,2045</v>
      </c>
      <c r="U99" s="61"/>
    </row>
    <row r="101" spans="1:21" ht="15">
      <c r="A101" s="58" t="s">
        <v>271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1">
      <c r="A102" s="59" t="s">
        <v>980</v>
      </c>
      <c r="B102" s="59" t="s">
        <v>981</v>
      </c>
      <c r="C102" s="59" t="s">
        <v>982</v>
      </c>
      <c r="D102" s="59" t="str">
        <f>"0,5497"</f>
        <v>0,5497</v>
      </c>
      <c r="E102" s="59" t="s">
        <v>366</v>
      </c>
      <c r="F102" s="59" t="s">
        <v>367</v>
      </c>
      <c r="G102" s="59" t="s">
        <v>22</v>
      </c>
      <c r="H102" s="59" t="s">
        <v>149</v>
      </c>
      <c r="I102" s="59" t="s">
        <v>173</v>
      </c>
      <c r="J102" s="60"/>
      <c r="K102" s="59" t="s">
        <v>131</v>
      </c>
      <c r="L102" s="59" t="s">
        <v>155</v>
      </c>
      <c r="M102" s="59" t="s">
        <v>132</v>
      </c>
      <c r="N102" s="60"/>
      <c r="O102" s="59" t="s">
        <v>173</v>
      </c>
      <c r="P102" s="59" t="s">
        <v>33</v>
      </c>
      <c r="Q102" s="60" t="s">
        <v>20</v>
      </c>
      <c r="R102" s="60"/>
      <c r="S102" s="59">
        <v>370</v>
      </c>
      <c r="T102" s="59" t="str">
        <f>"203,3890"</f>
        <v>203,3890</v>
      </c>
      <c r="U102" s="59"/>
    </row>
    <row r="103" spans="1:21">
      <c r="A103" s="63" t="s">
        <v>272</v>
      </c>
      <c r="B103" s="63" t="s">
        <v>273</v>
      </c>
      <c r="C103" s="63" t="s">
        <v>274</v>
      </c>
      <c r="D103" s="63" t="str">
        <f>"0,5609"</f>
        <v>0,5609</v>
      </c>
      <c r="E103" s="63" t="s">
        <v>163</v>
      </c>
      <c r="F103" s="63" t="s">
        <v>164</v>
      </c>
      <c r="G103" s="63" t="s">
        <v>83</v>
      </c>
      <c r="H103" s="63" t="s">
        <v>61</v>
      </c>
      <c r="I103" s="64"/>
      <c r="J103" s="64"/>
      <c r="K103" s="63" t="s">
        <v>32</v>
      </c>
      <c r="L103" s="63" t="s">
        <v>194</v>
      </c>
      <c r="M103" s="64"/>
      <c r="N103" s="64"/>
      <c r="O103" s="63" t="s">
        <v>30</v>
      </c>
      <c r="P103" s="64"/>
      <c r="Q103" s="64"/>
      <c r="R103" s="64"/>
      <c r="S103" s="63">
        <v>567.5</v>
      </c>
      <c r="T103" s="63" t="str">
        <f>"318,2824"</f>
        <v>318,2824</v>
      </c>
      <c r="U103" s="63"/>
    </row>
    <row r="104" spans="1:21">
      <c r="A104" s="63" t="s">
        <v>983</v>
      </c>
      <c r="B104" s="63" t="s">
        <v>984</v>
      </c>
      <c r="C104" s="63" t="s">
        <v>985</v>
      </c>
      <c r="D104" s="63" t="str">
        <f>"0,5562"</f>
        <v>0,5562</v>
      </c>
      <c r="E104" s="63" t="s">
        <v>120</v>
      </c>
      <c r="F104" s="63" t="s">
        <v>72</v>
      </c>
      <c r="G104" s="63" t="s">
        <v>30</v>
      </c>
      <c r="H104" s="63" t="s">
        <v>44</v>
      </c>
      <c r="I104" s="63" t="s">
        <v>848</v>
      </c>
      <c r="J104" s="64"/>
      <c r="K104" s="63" t="s">
        <v>67</v>
      </c>
      <c r="L104" s="63" t="s">
        <v>188</v>
      </c>
      <c r="M104" s="64" t="s">
        <v>30</v>
      </c>
      <c r="N104" s="64"/>
      <c r="O104" s="63" t="s">
        <v>36</v>
      </c>
      <c r="P104" s="63" t="s">
        <v>207</v>
      </c>
      <c r="Q104" s="63" t="s">
        <v>986</v>
      </c>
      <c r="R104" s="64"/>
      <c r="S104" s="63">
        <v>685</v>
      </c>
      <c r="T104" s="63" t="str">
        <f>"381,0312"</f>
        <v>381,0312</v>
      </c>
      <c r="U104" s="63" t="s">
        <v>892</v>
      </c>
    </row>
    <row r="105" spans="1:21">
      <c r="A105" s="63" t="s">
        <v>987</v>
      </c>
      <c r="B105" s="63" t="s">
        <v>988</v>
      </c>
      <c r="C105" s="63" t="s">
        <v>989</v>
      </c>
      <c r="D105" s="63" t="str">
        <f>"0,5591"</f>
        <v>0,5591</v>
      </c>
      <c r="E105" s="63" t="s">
        <v>120</v>
      </c>
      <c r="F105" s="63" t="s">
        <v>990</v>
      </c>
      <c r="G105" s="63" t="s">
        <v>565</v>
      </c>
      <c r="H105" s="64" t="s">
        <v>31</v>
      </c>
      <c r="I105" s="63" t="s">
        <v>211</v>
      </c>
      <c r="J105" s="64"/>
      <c r="K105" s="63" t="s">
        <v>817</v>
      </c>
      <c r="L105" s="63" t="s">
        <v>836</v>
      </c>
      <c r="M105" s="63" t="s">
        <v>883</v>
      </c>
      <c r="N105" s="64"/>
      <c r="O105" s="63" t="s">
        <v>35</v>
      </c>
      <c r="P105" s="63" t="s">
        <v>720</v>
      </c>
      <c r="Q105" s="63" t="s">
        <v>207</v>
      </c>
      <c r="R105" s="64"/>
      <c r="S105" s="63">
        <v>632.5</v>
      </c>
      <c r="T105" s="63" t="str">
        <f>"353,6624"</f>
        <v>353,6624</v>
      </c>
      <c r="U105" s="63"/>
    </row>
    <row r="106" spans="1:21">
      <c r="A106" s="63" t="s">
        <v>279</v>
      </c>
      <c r="B106" s="63" t="s">
        <v>280</v>
      </c>
      <c r="C106" s="63" t="s">
        <v>991</v>
      </c>
      <c r="D106" s="63" t="str">
        <f>"0,5490"</f>
        <v>0,5490</v>
      </c>
      <c r="E106" s="63" t="s">
        <v>120</v>
      </c>
      <c r="F106" s="63" t="s">
        <v>282</v>
      </c>
      <c r="G106" s="63" t="s">
        <v>44</v>
      </c>
      <c r="H106" s="64" t="s">
        <v>211</v>
      </c>
      <c r="I106" s="64" t="s">
        <v>211</v>
      </c>
      <c r="J106" s="64"/>
      <c r="K106" s="64" t="s">
        <v>625</v>
      </c>
      <c r="L106" s="63" t="s">
        <v>625</v>
      </c>
      <c r="M106" s="64" t="s">
        <v>21</v>
      </c>
      <c r="N106" s="64"/>
      <c r="O106" s="63" t="s">
        <v>186</v>
      </c>
      <c r="P106" s="63" t="s">
        <v>378</v>
      </c>
      <c r="Q106" s="63" t="s">
        <v>31</v>
      </c>
      <c r="R106" s="64"/>
      <c r="S106" s="63">
        <v>612.5</v>
      </c>
      <c r="T106" s="63" t="str">
        <f>"336,2931"</f>
        <v>336,2931</v>
      </c>
      <c r="U106" s="63"/>
    </row>
    <row r="107" spans="1:21">
      <c r="A107" s="63" t="s">
        <v>279</v>
      </c>
      <c r="B107" s="63" t="s">
        <v>283</v>
      </c>
      <c r="C107" s="63" t="s">
        <v>991</v>
      </c>
      <c r="D107" s="63" t="str">
        <f>"0,5490"</f>
        <v>0,5490</v>
      </c>
      <c r="E107" s="63" t="s">
        <v>120</v>
      </c>
      <c r="F107" s="63" t="s">
        <v>282</v>
      </c>
      <c r="G107" s="63" t="s">
        <v>44</v>
      </c>
      <c r="H107" s="64" t="s">
        <v>211</v>
      </c>
      <c r="I107" s="64" t="s">
        <v>211</v>
      </c>
      <c r="J107" s="64"/>
      <c r="K107" s="64" t="s">
        <v>625</v>
      </c>
      <c r="L107" s="63" t="s">
        <v>625</v>
      </c>
      <c r="M107" s="64" t="s">
        <v>21</v>
      </c>
      <c r="N107" s="64"/>
      <c r="O107" s="63" t="s">
        <v>186</v>
      </c>
      <c r="P107" s="63" t="s">
        <v>378</v>
      </c>
      <c r="Q107" s="63" t="s">
        <v>31</v>
      </c>
      <c r="R107" s="64"/>
      <c r="S107" s="63">
        <v>612.5</v>
      </c>
      <c r="T107" s="63" t="str">
        <f>"336,2931"</f>
        <v>336,2931</v>
      </c>
      <c r="U107" s="63"/>
    </row>
    <row r="108" spans="1:21">
      <c r="A108" s="61" t="s">
        <v>992</v>
      </c>
      <c r="B108" s="61" t="s">
        <v>993</v>
      </c>
      <c r="C108" s="61" t="s">
        <v>616</v>
      </c>
      <c r="D108" s="61" t="str">
        <f>"0,8504"</f>
        <v>0,8504</v>
      </c>
      <c r="E108" s="61" t="s">
        <v>120</v>
      </c>
      <c r="F108" s="61" t="s">
        <v>29</v>
      </c>
      <c r="G108" s="61" t="s">
        <v>52</v>
      </c>
      <c r="H108" s="61" t="s">
        <v>46</v>
      </c>
      <c r="I108" s="62" t="s">
        <v>53</v>
      </c>
      <c r="J108" s="62"/>
      <c r="K108" s="61" t="s">
        <v>400</v>
      </c>
      <c r="L108" s="61" t="s">
        <v>32</v>
      </c>
      <c r="M108" s="61" t="s">
        <v>994</v>
      </c>
      <c r="N108" s="62"/>
      <c r="O108" s="61" t="s">
        <v>211</v>
      </c>
      <c r="P108" s="61" t="s">
        <v>35</v>
      </c>
      <c r="Q108" s="61" t="s">
        <v>36</v>
      </c>
      <c r="R108" s="62"/>
      <c r="S108" s="61">
        <v>620</v>
      </c>
      <c r="T108" s="61" t="str">
        <f>"527,2632"</f>
        <v>527,2632</v>
      </c>
      <c r="U108" s="61"/>
    </row>
    <row r="110" spans="1:21" ht="15">
      <c r="A110" s="58" t="s">
        <v>617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1">
      <c r="A111" s="56" t="s">
        <v>995</v>
      </c>
      <c r="B111" s="56" t="s">
        <v>996</v>
      </c>
      <c r="C111" s="56" t="s">
        <v>997</v>
      </c>
      <c r="D111" s="56" t="str">
        <f>"0,5406"</f>
        <v>0,5406</v>
      </c>
      <c r="E111" s="56" t="s">
        <v>120</v>
      </c>
      <c r="F111" s="56" t="s">
        <v>72</v>
      </c>
      <c r="G111" s="56" t="s">
        <v>46</v>
      </c>
      <c r="H111" s="56" t="s">
        <v>66</v>
      </c>
      <c r="I111" s="57" t="s">
        <v>876</v>
      </c>
      <c r="J111" s="57"/>
      <c r="K111" s="57" t="s">
        <v>33</v>
      </c>
      <c r="L111" s="56" t="s">
        <v>254</v>
      </c>
      <c r="M111" s="57" t="s">
        <v>30</v>
      </c>
      <c r="N111" s="57"/>
      <c r="O111" s="56" t="s">
        <v>236</v>
      </c>
      <c r="P111" s="56" t="s">
        <v>55</v>
      </c>
      <c r="Q111" s="57" t="s">
        <v>241</v>
      </c>
      <c r="R111" s="57"/>
      <c r="S111" s="56">
        <v>712.5</v>
      </c>
      <c r="T111" s="56" t="str">
        <f>"385,1775"</f>
        <v>385,1775</v>
      </c>
      <c r="U111" s="56"/>
    </row>
    <row r="113" spans="1:5" ht="15">
      <c r="E113" s="65" t="s">
        <v>84</v>
      </c>
    </row>
    <row r="114" spans="1:5" ht="15">
      <c r="E114" s="65" t="s">
        <v>85</v>
      </c>
    </row>
    <row r="115" spans="1:5" ht="15">
      <c r="E115" s="65" t="s">
        <v>86</v>
      </c>
    </row>
    <row r="116" spans="1:5">
      <c r="E116" s="55" t="s">
        <v>87</v>
      </c>
    </row>
    <row r="117" spans="1:5">
      <c r="E117" s="55" t="s">
        <v>88</v>
      </c>
    </row>
    <row r="118" spans="1:5">
      <c r="E118" s="55" t="s">
        <v>89</v>
      </c>
    </row>
    <row r="121" spans="1:5" ht="18">
      <c r="A121" s="66" t="s">
        <v>90</v>
      </c>
      <c r="B121" s="66"/>
    </row>
    <row r="122" spans="1:5" ht="15">
      <c r="A122" s="67" t="s">
        <v>284</v>
      </c>
      <c r="B122" s="67"/>
    </row>
    <row r="123" spans="1:5" ht="14.25">
      <c r="A123" s="69" t="s">
        <v>100</v>
      </c>
      <c r="B123" s="70"/>
    </row>
    <row r="124" spans="1:5" ht="15">
      <c r="A124" s="71" t="s">
        <v>0</v>
      </c>
      <c r="B124" s="71" t="s">
        <v>93</v>
      </c>
      <c r="C124" s="71" t="s">
        <v>94</v>
      </c>
      <c r="D124" s="71" t="s">
        <v>7</v>
      </c>
      <c r="E124" s="71" t="s">
        <v>95</v>
      </c>
    </row>
    <row r="125" spans="1:5">
      <c r="A125" s="68" t="s">
        <v>769</v>
      </c>
      <c r="B125" s="55" t="s">
        <v>100</v>
      </c>
      <c r="C125" s="55" t="s">
        <v>287</v>
      </c>
      <c r="D125" s="55" t="s">
        <v>998</v>
      </c>
      <c r="E125" s="72" t="s">
        <v>999</v>
      </c>
    </row>
    <row r="126" spans="1:5">
      <c r="A126" s="68" t="s">
        <v>773</v>
      </c>
      <c r="B126" s="55" t="s">
        <v>100</v>
      </c>
      <c r="C126" s="55" t="s">
        <v>293</v>
      </c>
      <c r="D126" s="55" t="s">
        <v>1000</v>
      </c>
      <c r="E126" s="72" t="s">
        <v>1001</v>
      </c>
    </row>
    <row r="127" spans="1:5">
      <c r="A127" s="68" t="s">
        <v>783</v>
      </c>
      <c r="B127" s="55" t="s">
        <v>100</v>
      </c>
      <c r="C127" s="55" t="s">
        <v>310</v>
      </c>
      <c r="D127" s="55" t="s">
        <v>1002</v>
      </c>
      <c r="E127" s="72" t="s">
        <v>1003</v>
      </c>
    </row>
    <row r="128" spans="1:5">
      <c r="A128" s="68" t="s">
        <v>780</v>
      </c>
      <c r="B128" s="55" t="s">
        <v>100</v>
      </c>
      <c r="C128" s="55" t="s">
        <v>310</v>
      </c>
      <c r="D128" s="55" t="s">
        <v>1004</v>
      </c>
      <c r="E128" s="72" t="s">
        <v>1005</v>
      </c>
    </row>
    <row r="129" spans="1:5">
      <c r="A129" s="68" t="s">
        <v>777</v>
      </c>
      <c r="B129" s="55" t="s">
        <v>100</v>
      </c>
      <c r="C129" s="55" t="s">
        <v>293</v>
      </c>
      <c r="D129" s="55" t="s">
        <v>73</v>
      </c>
      <c r="E129" s="72" t="s">
        <v>1006</v>
      </c>
    </row>
    <row r="130" spans="1:5">
      <c r="A130" s="68" t="s">
        <v>764</v>
      </c>
      <c r="B130" s="55" t="s">
        <v>100</v>
      </c>
      <c r="C130" s="55" t="s">
        <v>289</v>
      </c>
      <c r="D130" s="55" t="s">
        <v>195</v>
      </c>
      <c r="E130" s="72" t="s">
        <v>1007</v>
      </c>
    </row>
    <row r="131" spans="1:5">
      <c r="A131" s="68" t="s">
        <v>760</v>
      </c>
      <c r="B131" s="55" t="s">
        <v>100</v>
      </c>
      <c r="C131" s="55" t="s">
        <v>1008</v>
      </c>
      <c r="D131" s="55" t="s">
        <v>186</v>
      </c>
      <c r="E131" s="72" t="s">
        <v>1009</v>
      </c>
    </row>
    <row r="133" spans="1:5" ht="14.25">
      <c r="A133" s="69" t="s">
        <v>297</v>
      </c>
      <c r="B133" s="70"/>
    </row>
    <row r="134" spans="1:5" ht="15">
      <c r="A134" s="71" t="s">
        <v>0</v>
      </c>
      <c r="B134" s="71" t="s">
        <v>93</v>
      </c>
      <c r="C134" s="71" t="s">
        <v>94</v>
      </c>
      <c r="D134" s="71" t="s">
        <v>7</v>
      </c>
      <c r="E134" s="71" t="s">
        <v>95</v>
      </c>
    </row>
    <row r="135" spans="1:5">
      <c r="A135" s="68" t="s">
        <v>773</v>
      </c>
      <c r="B135" s="55" t="s">
        <v>343</v>
      </c>
      <c r="C135" s="55" t="s">
        <v>293</v>
      </c>
      <c r="D135" s="55" t="s">
        <v>1000</v>
      </c>
      <c r="E135" s="72" t="s">
        <v>1010</v>
      </c>
    </row>
    <row r="136" spans="1:5">
      <c r="A136" s="68" t="s">
        <v>787</v>
      </c>
      <c r="B136" s="55" t="s">
        <v>298</v>
      </c>
      <c r="C136" s="55" t="s">
        <v>97</v>
      </c>
      <c r="D136" s="55" t="s">
        <v>751</v>
      </c>
      <c r="E136" s="72" t="s">
        <v>1011</v>
      </c>
    </row>
    <row r="139" spans="1:5" ht="15">
      <c r="A139" s="67" t="s">
        <v>91</v>
      </c>
      <c r="B139" s="67"/>
    </row>
    <row r="140" spans="1:5" ht="14.25">
      <c r="A140" s="69" t="s">
        <v>285</v>
      </c>
      <c r="B140" s="70"/>
    </row>
    <row r="141" spans="1:5" ht="15">
      <c r="A141" s="71" t="s">
        <v>0</v>
      </c>
      <c r="B141" s="71" t="s">
        <v>93</v>
      </c>
      <c r="C141" s="71" t="s">
        <v>94</v>
      </c>
      <c r="D141" s="71" t="s">
        <v>7</v>
      </c>
      <c r="E141" s="71" t="s">
        <v>95</v>
      </c>
    </row>
    <row r="142" spans="1:5">
      <c r="A142" s="68" t="s">
        <v>942</v>
      </c>
      <c r="B142" s="55" t="s">
        <v>286</v>
      </c>
      <c r="C142" s="55" t="s">
        <v>104</v>
      </c>
      <c r="D142" s="55" t="s">
        <v>1012</v>
      </c>
      <c r="E142" s="72" t="s">
        <v>1013</v>
      </c>
    </row>
    <row r="143" spans="1:5">
      <c r="A143" s="68" t="s">
        <v>806</v>
      </c>
      <c r="B143" s="55" t="s">
        <v>416</v>
      </c>
      <c r="C143" s="55" t="s">
        <v>293</v>
      </c>
      <c r="D143" s="55" t="s">
        <v>1014</v>
      </c>
      <c r="E143" s="72" t="s">
        <v>1015</v>
      </c>
    </row>
    <row r="144" spans="1:5">
      <c r="A144" s="68" t="s">
        <v>823</v>
      </c>
      <c r="B144" s="55" t="s">
        <v>286</v>
      </c>
      <c r="C144" s="55" t="s">
        <v>310</v>
      </c>
      <c r="D144" s="55" t="s">
        <v>1016</v>
      </c>
      <c r="E144" s="72" t="s">
        <v>1017</v>
      </c>
    </row>
    <row r="145" spans="1:5">
      <c r="A145" s="68" t="s">
        <v>828</v>
      </c>
      <c r="B145" s="55" t="s">
        <v>286</v>
      </c>
      <c r="C145" s="55" t="s">
        <v>310</v>
      </c>
      <c r="D145" s="55" t="s">
        <v>1018</v>
      </c>
      <c r="E145" s="72" t="s">
        <v>1019</v>
      </c>
    </row>
    <row r="146" spans="1:5">
      <c r="A146" s="68" t="s">
        <v>900</v>
      </c>
      <c r="B146" s="55" t="s">
        <v>416</v>
      </c>
      <c r="C146" s="55" t="s">
        <v>111</v>
      </c>
      <c r="D146" s="55" t="s">
        <v>1020</v>
      </c>
      <c r="E146" s="72" t="s">
        <v>1021</v>
      </c>
    </row>
    <row r="147" spans="1:5">
      <c r="A147" s="68" t="s">
        <v>833</v>
      </c>
      <c r="B147" s="55" t="s">
        <v>286</v>
      </c>
      <c r="C147" s="55" t="s">
        <v>310</v>
      </c>
      <c r="D147" s="55" t="s">
        <v>1022</v>
      </c>
      <c r="E147" s="72" t="s">
        <v>1023</v>
      </c>
    </row>
    <row r="148" spans="1:5">
      <c r="A148" s="68" t="s">
        <v>837</v>
      </c>
      <c r="B148" s="55" t="s">
        <v>286</v>
      </c>
      <c r="C148" s="55" t="s">
        <v>310</v>
      </c>
      <c r="D148" s="55" t="s">
        <v>1024</v>
      </c>
      <c r="E148" s="72" t="s">
        <v>1025</v>
      </c>
    </row>
    <row r="149" spans="1:5">
      <c r="A149" s="68" t="s">
        <v>803</v>
      </c>
      <c r="B149" s="55" t="s">
        <v>416</v>
      </c>
      <c r="C149" s="55" t="s">
        <v>287</v>
      </c>
      <c r="D149" s="55" t="s">
        <v>1000</v>
      </c>
      <c r="E149" s="72" t="s">
        <v>1026</v>
      </c>
    </row>
    <row r="150" spans="1:5">
      <c r="A150" s="68" t="s">
        <v>980</v>
      </c>
      <c r="B150" s="55" t="s">
        <v>416</v>
      </c>
      <c r="C150" s="55" t="s">
        <v>304</v>
      </c>
      <c r="D150" s="55" t="s">
        <v>1027</v>
      </c>
      <c r="E150" s="72" t="s">
        <v>1028</v>
      </c>
    </row>
    <row r="151" spans="1:5">
      <c r="A151" s="68" t="s">
        <v>819</v>
      </c>
      <c r="B151" s="55" t="s">
        <v>302</v>
      </c>
      <c r="C151" s="55" t="s">
        <v>310</v>
      </c>
      <c r="D151" s="55" t="s">
        <v>207</v>
      </c>
      <c r="E151" s="72" t="s">
        <v>1029</v>
      </c>
    </row>
    <row r="153" spans="1:5" ht="14.25">
      <c r="A153" s="69" t="s">
        <v>92</v>
      </c>
      <c r="B153" s="70"/>
    </row>
    <row r="154" spans="1:5" ht="15">
      <c r="A154" s="71" t="s">
        <v>0</v>
      </c>
      <c r="B154" s="71" t="s">
        <v>93</v>
      </c>
      <c r="C154" s="71" t="s">
        <v>94</v>
      </c>
      <c r="D154" s="71" t="s">
        <v>7</v>
      </c>
      <c r="E154" s="71" t="s">
        <v>95</v>
      </c>
    </row>
    <row r="155" spans="1:5">
      <c r="A155" s="68" t="s">
        <v>860</v>
      </c>
      <c r="B155" s="55" t="s">
        <v>96</v>
      </c>
      <c r="C155" s="55" t="s">
        <v>97</v>
      </c>
      <c r="D155" s="55" t="s">
        <v>1030</v>
      </c>
      <c r="E155" s="72" t="s">
        <v>1031</v>
      </c>
    </row>
    <row r="156" spans="1:5">
      <c r="A156" s="68" t="s">
        <v>809</v>
      </c>
      <c r="B156" s="55" t="s">
        <v>96</v>
      </c>
      <c r="C156" s="55" t="s">
        <v>293</v>
      </c>
      <c r="D156" s="55" t="s">
        <v>1032</v>
      </c>
      <c r="E156" s="72" t="s">
        <v>1033</v>
      </c>
    </row>
    <row r="157" spans="1:5">
      <c r="A157" s="68" t="s">
        <v>952</v>
      </c>
      <c r="B157" s="55" t="s">
        <v>96</v>
      </c>
      <c r="C157" s="55" t="s">
        <v>104</v>
      </c>
      <c r="D157" s="55" t="s">
        <v>332</v>
      </c>
      <c r="E157" s="72" t="s">
        <v>1034</v>
      </c>
    </row>
    <row r="158" spans="1:5">
      <c r="A158" s="68" t="s">
        <v>797</v>
      </c>
      <c r="B158" s="55" t="s">
        <v>96</v>
      </c>
      <c r="C158" s="55" t="s">
        <v>289</v>
      </c>
      <c r="D158" s="55" t="s">
        <v>1035</v>
      </c>
      <c r="E158" s="72" t="s">
        <v>1036</v>
      </c>
    </row>
    <row r="159" spans="1:5">
      <c r="A159" s="68" t="s">
        <v>948</v>
      </c>
      <c r="B159" s="55" t="s">
        <v>96</v>
      </c>
      <c r="C159" s="55" t="s">
        <v>104</v>
      </c>
      <c r="D159" s="55" t="s">
        <v>109</v>
      </c>
      <c r="E159" s="72" t="s">
        <v>1037</v>
      </c>
    </row>
    <row r="160" spans="1:5">
      <c r="A160" s="68" t="s">
        <v>967</v>
      </c>
      <c r="B160" s="55" t="s">
        <v>96</v>
      </c>
      <c r="C160" s="55" t="s">
        <v>101</v>
      </c>
      <c r="D160" s="55" t="s">
        <v>1038</v>
      </c>
      <c r="E160" s="72" t="s">
        <v>1039</v>
      </c>
    </row>
    <row r="161" spans="1:5">
      <c r="A161" s="68" t="s">
        <v>840</v>
      </c>
      <c r="B161" s="55" t="s">
        <v>96</v>
      </c>
      <c r="C161" s="55" t="s">
        <v>310</v>
      </c>
      <c r="D161" s="55" t="s">
        <v>1040</v>
      </c>
      <c r="E161" s="72" t="s">
        <v>1041</v>
      </c>
    </row>
    <row r="162" spans="1:5">
      <c r="A162" s="68" t="s">
        <v>863</v>
      </c>
      <c r="B162" s="55" t="s">
        <v>96</v>
      </c>
      <c r="C162" s="55" t="s">
        <v>97</v>
      </c>
      <c r="D162" s="55" t="s">
        <v>1016</v>
      </c>
      <c r="E162" s="72" t="s">
        <v>1042</v>
      </c>
    </row>
    <row r="163" spans="1:5">
      <c r="A163" s="68" t="s">
        <v>272</v>
      </c>
      <c r="B163" s="55" t="s">
        <v>96</v>
      </c>
      <c r="C163" s="55" t="s">
        <v>304</v>
      </c>
      <c r="D163" s="55" t="s">
        <v>1043</v>
      </c>
      <c r="E163" s="72" t="s">
        <v>1044</v>
      </c>
    </row>
    <row r="164" spans="1:5">
      <c r="A164" s="68" t="s">
        <v>906</v>
      </c>
      <c r="B164" s="55" t="s">
        <v>96</v>
      </c>
      <c r="C164" s="55" t="s">
        <v>111</v>
      </c>
      <c r="D164" s="55" t="s">
        <v>1045</v>
      </c>
      <c r="E164" s="72" t="s">
        <v>1046</v>
      </c>
    </row>
    <row r="165" spans="1:5">
      <c r="A165" s="68" t="s">
        <v>845</v>
      </c>
      <c r="B165" s="55" t="s">
        <v>96</v>
      </c>
      <c r="C165" s="55" t="s">
        <v>310</v>
      </c>
      <c r="D165" s="55" t="s">
        <v>1047</v>
      </c>
      <c r="E165" s="72" t="s">
        <v>1048</v>
      </c>
    </row>
    <row r="167" spans="1:5" ht="14.25">
      <c r="A167" s="69" t="s">
        <v>100</v>
      </c>
      <c r="B167" s="70"/>
    </row>
    <row r="168" spans="1:5" ht="15">
      <c r="A168" s="71" t="s">
        <v>0</v>
      </c>
      <c r="B168" s="71" t="s">
        <v>93</v>
      </c>
      <c r="C168" s="71" t="s">
        <v>94</v>
      </c>
      <c r="D168" s="71" t="s">
        <v>7</v>
      </c>
      <c r="E168" s="71" t="s">
        <v>95</v>
      </c>
    </row>
    <row r="169" spans="1:5">
      <c r="A169" s="68" t="s">
        <v>911</v>
      </c>
      <c r="B169" s="55" t="s">
        <v>100</v>
      </c>
      <c r="C169" s="55" t="s">
        <v>111</v>
      </c>
      <c r="D169" s="55" t="s">
        <v>1049</v>
      </c>
      <c r="E169" s="72" t="s">
        <v>1050</v>
      </c>
    </row>
    <row r="170" spans="1:5">
      <c r="A170" s="68" t="s">
        <v>190</v>
      </c>
      <c r="B170" s="55" t="s">
        <v>100</v>
      </c>
      <c r="C170" s="55" t="s">
        <v>310</v>
      </c>
      <c r="D170" s="55" t="s">
        <v>1051</v>
      </c>
      <c r="E170" s="72" t="s">
        <v>1052</v>
      </c>
    </row>
    <row r="171" spans="1:5">
      <c r="A171" s="68" t="s">
        <v>871</v>
      </c>
      <c r="B171" s="55" t="s">
        <v>100</v>
      </c>
      <c r="C171" s="55" t="s">
        <v>97</v>
      </c>
      <c r="D171" s="55" t="s">
        <v>1053</v>
      </c>
      <c r="E171" s="72" t="s">
        <v>1054</v>
      </c>
    </row>
    <row r="172" spans="1:5">
      <c r="A172" s="68" t="s">
        <v>815</v>
      </c>
      <c r="B172" s="55" t="s">
        <v>100</v>
      </c>
      <c r="C172" s="55" t="s">
        <v>293</v>
      </c>
      <c r="D172" s="55" t="s">
        <v>1055</v>
      </c>
      <c r="E172" s="72" t="s">
        <v>1056</v>
      </c>
    </row>
    <row r="173" spans="1:5">
      <c r="A173" s="68" t="s">
        <v>203</v>
      </c>
      <c r="B173" s="55" t="s">
        <v>100</v>
      </c>
      <c r="C173" s="55" t="s">
        <v>97</v>
      </c>
      <c r="D173" s="55" t="s">
        <v>1057</v>
      </c>
      <c r="E173" s="72" t="s">
        <v>1058</v>
      </c>
    </row>
    <row r="174" spans="1:5">
      <c r="A174" s="68" t="s">
        <v>231</v>
      </c>
      <c r="B174" s="55" t="s">
        <v>100</v>
      </c>
      <c r="C174" s="55" t="s">
        <v>104</v>
      </c>
      <c r="D174" s="55" t="s">
        <v>1059</v>
      </c>
      <c r="E174" s="72" t="s">
        <v>1060</v>
      </c>
    </row>
    <row r="175" spans="1:5">
      <c r="A175" s="68" t="s">
        <v>877</v>
      </c>
      <c r="B175" s="55" t="s">
        <v>100</v>
      </c>
      <c r="C175" s="55" t="s">
        <v>97</v>
      </c>
      <c r="D175" s="55" t="s">
        <v>1061</v>
      </c>
      <c r="E175" s="72" t="s">
        <v>1062</v>
      </c>
    </row>
    <row r="176" spans="1:5">
      <c r="A176" s="68" t="s">
        <v>995</v>
      </c>
      <c r="B176" s="55" t="s">
        <v>100</v>
      </c>
      <c r="C176" s="55" t="s">
        <v>654</v>
      </c>
      <c r="D176" s="55" t="s">
        <v>1063</v>
      </c>
      <c r="E176" s="72" t="s">
        <v>1064</v>
      </c>
    </row>
    <row r="177" spans="1:5">
      <c r="A177" s="68" t="s">
        <v>849</v>
      </c>
      <c r="B177" s="55" t="s">
        <v>100</v>
      </c>
      <c r="C177" s="55" t="s">
        <v>310</v>
      </c>
      <c r="D177" s="55" t="s">
        <v>1065</v>
      </c>
      <c r="E177" s="72" t="s">
        <v>1066</v>
      </c>
    </row>
    <row r="178" spans="1:5">
      <c r="A178" s="68" t="s">
        <v>983</v>
      </c>
      <c r="B178" s="55" t="s">
        <v>100</v>
      </c>
      <c r="C178" s="55" t="s">
        <v>304</v>
      </c>
      <c r="D178" s="55" t="s">
        <v>1067</v>
      </c>
      <c r="E178" s="72" t="s">
        <v>1068</v>
      </c>
    </row>
    <row r="179" spans="1:5">
      <c r="A179" s="68" t="s">
        <v>880</v>
      </c>
      <c r="B179" s="55" t="s">
        <v>100</v>
      </c>
      <c r="C179" s="55" t="s">
        <v>97</v>
      </c>
      <c r="D179" s="55" t="s">
        <v>112</v>
      </c>
      <c r="E179" s="72" t="s">
        <v>1069</v>
      </c>
    </row>
    <row r="180" spans="1:5">
      <c r="A180" s="68" t="s">
        <v>853</v>
      </c>
      <c r="B180" s="55" t="s">
        <v>100</v>
      </c>
      <c r="C180" s="55" t="s">
        <v>310</v>
      </c>
      <c r="D180" s="55" t="s">
        <v>1016</v>
      </c>
      <c r="E180" s="72" t="s">
        <v>1070</v>
      </c>
    </row>
    <row r="181" spans="1:5">
      <c r="A181" s="68" t="s">
        <v>887</v>
      </c>
      <c r="B181" s="55" t="s">
        <v>100</v>
      </c>
      <c r="C181" s="55" t="s">
        <v>97</v>
      </c>
      <c r="D181" s="55" t="s">
        <v>1071</v>
      </c>
      <c r="E181" s="72" t="s">
        <v>1072</v>
      </c>
    </row>
    <row r="182" spans="1:5">
      <c r="A182" s="68" t="s">
        <v>884</v>
      </c>
      <c r="B182" s="55" t="s">
        <v>100</v>
      </c>
      <c r="C182" s="55" t="s">
        <v>97</v>
      </c>
      <c r="D182" s="55" t="s">
        <v>1073</v>
      </c>
      <c r="E182" s="72" t="s">
        <v>1074</v>
      </c>
    </row>
    <row r="183" spans="1:5">
      <c r="A183" s="68" t="s">
        <v>970</v>
      </c>
      <c r="B183" s="55" t="s">
        <v>100</v>
      </c>
      <c r="C183" s="55" t="s">
        <v>101</v>
      </c>
      <c r="D183" s="55" t="s">
        <v>1057</v>
      </c>
      <c r="E183" s="72" t="s">
        <v>1075</v>
      </c>
    </row>
    <row r="184" spans="1:5">
      <c r="A184" s="68" t="s">
        <v>987</v>
      </c>
      <c r="B184" s="55" t="s">
        <v>100</v>
      </c>
      <c r="C184" s="55" t="s">
        <v>304</v>
      </c>
      <c r="D184" s="55" t="s">
        <v>1030</v>
      </c>
      <c r="E184" s="72" t="s">
        <v>1076</v>
      </c>
    </row>
    <row r="185" spans="1:5">
      <c r="A185" s="68" t="s">
        <v>279</v>
      </c>
      <c r="B185" s="55" t="s">
        <v>100</v>
      </c>
      <c r="C185" s="55" t="s">
        <v>304</v>
      </c>
      <c r="D185" s="55" t="s">
        <v>1077</v>
      </c>
      <c r="E185" s="72" t="s">
        <v>1078</v>
      </c>
    </row>
    <row r="186" spans="1:5">
      <c r="A186" s="68" t="s">
        <v>914</v>
      </c>
      <c r="B186" s="55" t="s">
        <v>100</v>
      </c>
      <c r="C186" s="55" t="s">
        <v>111</v>
      </c>
      <c r="D186" s="55" t="s">
        <v>1079</v>
      </c>
      <c r="E186" s="72" t="s">
        <v>1080</v>
      </c>
    </row>
    <row r="187" spans="1:5">
      <c r="A187" s="68" t="s">
        <v>889</v>
      </c>
      <c r="B187" s="55" t="s">
        <v>100</v>
      </c>
      <c r="C187" s="55" t="s">
        <v>97</v>
      </c>
      <c r="D187" s="55" t="s">
        <v>1014</v>
      </c>
      <c r="E187" s="72" t="s">
        <v>1081</v>
      </c>
    </row>
    <row r="188" spans="1:5">
      <c r="A188" s="68" t="s">
        <v>857</v>
      </c>
      <c r="B188" s="55" t="s">
        <v>100</v>
      </c>
      <c r="C188" s="55" t="s">
        <v>310</v>
      </c>
      <c r="D188" s="55" t="s">
        <v>1035</v>
      </c>
      <c r="E188" s="72" t="s">
        <v>1082</v>
      </c>
    </row>
    <row r="189" spans="1:5">
      <c r="A189" s="68" t="s">
        <v>893</v>
      </c>
      <c r="B189" s="55" t="s">
        <v>100</v>
      </c>
      <c r="C189" s="55" t="s">
        <v>97</v>
      </c>
      <c r="D189" s="55" t="s">
        <v>1083</v>
      </c>
      <c r="E189" s="72" t="s">
        <v>1084</v>
      </c>
    </row>
    <row r="191" spans="1:5" ht="14.25">
      <c r="A191" s="69" t="s">
        <v>297</v>
      </c>
      <c r="B191" s="70"/>
    </row>
    <row r="192" spans="1:5" ht="15">
      <c r="A192" s="71" t="s">
        <v>0</v>
      </c>
      <c r="B192" s="71" t="s">
        <v>93</v>
      </c>
      <c r="C192" s="71" t="s">
        <v>94</v>
      </c>
      <c r="D192" s="71" t="s">
        <v>7</v>
      </c>
      <c r="E192" s="71" t="s">
        <v>95</v>
      </c>
    </row>
    <row r="193" spans="1:5">
      <c r="A193" s="68" t="s">
        <v>992</v>
      </c>
      <c r="B193" s="55" t="s">
        <v>665</v>
      </c>
      <c r="C193" s="55" t="s">
        <v>304</v>
      </c>
      <c r="D193" s="55" t="s">
        <v>1051</v>
      </c>
      <c r="E193" s="72" t="s">
        <v>1085</v>
      </c>
    </row>
    <row r="194" spans="1:5">
      <c r="A194" s="68" t="s">
        <v>935</v>
      </c>
      <c r="B194" s="55" t="s">
        <v>432</v>
      </c>
      <c r="C194" s="55" t="s">
        <v>111</v>
      </c>
      <c r="D194" s="55" t="s">
        <v>306</v>
      </c>
      <c r="E194" s="72" t="s">
        <v>1086</v>
      </c>
    </row>
    <row r="195" spans="1:5">
      <c r="A195" s="68" t="s">
        <v>938</v>
      </c>
      <c r="B195" s="55" t="s">
        <v>432</v>
      </c>
      <c r="C195" s="55" t="s">
        <v>111</v>
      </c>
      <c r="D195" s="55" t="s">
        <v>306</v>
      </c>
      <c r="E195" s="72" t="s">
        <v>1087</v>
      </c>
    </row>
    <row r="196" spans="1:5">
      <c r="A196" s="68" t="s">
        <v>930</v>
      </c>
      <c r="B196" s="55" t="s">
        <v>661</v>
      </c>
      <c r="C196" s="55" t="s">
        <v>111</v>
      </c>
      <c r="D196" s="55" t="s">
        <v>1088</v>
      </c>
      <c r="E196" s="72" t="s">
        <v>1089</v>
      </c>
    </row>
    <row r="197" spans="1:5">
      <c r="A197" s="68" t="s">
        <v>896</v>
      </c>
      <c r="B197" s="55" t="s">
        <v>661</v>
      </c>
      <c r="C197" s="55" t="s">
        <v>97</v>
      </c>
      <c r="D197" s="55" t="s">
        <v>1090</v>
      </c>
      <c r="E197" s="72" t="s">
        <v>1091</v>
      </c>
    </row>
    <row r="198" spans="1:5">
      <c r="A198" s="68" t="s">
        <v>887</v>
      </c>
      <c r="B198" s="55" t="s">
        <v>298</v>
      </c>
      <c r="C198" s="55" t="s">
        <v>97</v>
      </c>
      <c r="D198" s="55" t="s">
        <v>1071</v>
      </c>
      <c r="E198" s="72" t="s">
        <v>1092</v>
      </c>
    </row>
    <row r="199" spans="1:5">
      <c r="A199" s="68" t="s">
        <v>977</v>
      </c>
      <c r="B199" s="55" t="s">
        <v>659</v>
      </c>
      <c r="C199" s="55" t="s">
        <v>101</v>
      </c>
      <c r="D199" s="55" t="s">
        <v>1093</v>
      </c>
      <c r="E199" s="72" t="s">
        <v>1094</v>
      </c>
    </row>
    <row r="200" spans="1:5">
      <c r="A200" s="68" t="s">
        <v>960</v>
      </c>
      <c r="B200" s="55" t="s">
        <v>343</v>
      </c>
      <c r="C200" s="55" t="s">
        <v>104</v>
      </c>
      <c r="D200" s="55" t="s">
        <v>1051</v>
      </c>
      <c r="E200" s="72" t="s">
        <v>1095</v>
      </c>
    </row>
    <row r="201" spans="1:5">
      <c r="A201" s="68" t="s">
        <v>791</v>
      </c>
      <c r="B201" s="55" t="s">
        <v>661</v>
      </c>
      <c r="C201" s="55" t="s">
        <v>411</v>
      </c>
      <c r="D201" s="55" t="s">
        <v>241</v>
      </c>
      <c r="E201" s="72" t="s">
        <v>1096</v>
      </c>
    </row>
    <row r="202" spans="1:5">
      <c r="A202" s="68" t="s">
        <v>963</v>
      </c>
      <c r="B202" s="55" t="s">
        <v>343</v>
      </c>
      <c r="C202" s="55" t="s">
        <v>104</v>
      </c>
      <c r="D202" s="55" t="s">
        <v>308</v>
      </c>
      <c r="E202" s="72" t="s">
        <v>1097</v>
      </c>
    </row>
    <row r="203" spans="1:5">
      <c r="A203" s="68" t="s">
        <v>279</v>
      </c>
      <c r="B203" s="55" t="s">
        <v>343</v>
      </c>
      <c r="C203" s="55" t="s">
        <v>304</v>
      </c>
      <c r="D203" s="55" t="s">
        <v>1077</v>
      </c>
      <c r="E203" s="72" t="s">
        <v>1078</v>
      </c>
    </row>
    <row r="204" spans="1:5">
      <c r="A204" s="68" t="s">
        <v>924</v>
      </c>
      <c r="B204" s="55" t="s">
        <v>298</v>
      </c>
      <c r="C204" s="55" t="s">
        <v>111</v>
      </c>
      <c r="D204" s="55" t="s">
        <v>1016</v>
      </c>
      <c r="E204" s="72" t="s">
        <v>1098</v>
      </c>
    </row>
    <row r="205" spans="1:5">
      <c r="A205" s="68" t="s">
        <v>917</v>
      </c>
      <c r="B205" s="55" t="s">
        <v>343</v>
      </c>
      <c r="C205" s="55" t="s">
        <v>111</v>
      </c>
      <c r="D205" s="55" t="s">
        <v>330</v>
      </c>
      <c r="E205" s="72" t="s">
        <v>1099</v>
      </c>
    </row>
    <row r="206" spans="1:5">
      <c r="A206" s="68" t="s">
        <v>246</v>
      </c>
      <c r="B206" s="55" t="s">
        <v>343</v>
      </c>
      <c r="C206" s="55" t="s">
        <v>104</v>
      </c>
      <c r="D206" s="55" t="s">
        <v>346</v>
      </c>
      <c r="E206" s="72" t="s">
        <v>347</v>
      </c>
    </row>
    <row r="207" spans="1:5">
      <c r="A207" s="68" t="s">
        <v>920</v>
      </c>
      <c r="B207" s="55" t="s">
        <v>343</v>
      </c>
      <c r="C207" s="55" t="s">
        <v>111</v>
      </c>
      <c r="D207" s="55" t="s">
        <v>1100</v>
      </c>
      <c r="E207" s="72" t="s">
        <v>1101</v>
      </c>
    </row>
    <row r="208" spans="1:5">
      <c r="A208" s="68" t="s">
        <v>928</v>
      </c>
      <c r="B208" s="55" t="s">
        <v>435</v>
      </c>
      <c r="C208" s="55" t="s">
        <v>111</v>
      </c>
      <c r="D208" s="55" t="s">
        <v>1102</v>
      </c>
      <c r="E208" s="72" t="s">
        <v>1103</v>
      </c>
    </row>
    <row r="209" spans="1:5">
      <c r="A209" s="68" t="s">
        <v>973</v>
      </c>
      <c r="B209" s="55" t="s">
        <v>298</v>
      </c>
      <c r="C209" s="55" t="s">
        <v>101</v>
      </c>
      <c r="D209" s="55" t="s">
        <v>1104</v>
      </c>
      <c r="E209" s="72" t="s">
        <v>1105</v>
      </c>
    </row>
  </sheetData>
  <mergeCells count="30">
    <mergeCell ref="A101:T101"/>
    <mergeCell ref="A110:T110"/>
    <mergeCell ref="A36:T36"/>
    <mergeCell ref="A42:T42"/>
    <mergeCell ref="A55:T55"/>
    <mergeCell ref="A71:T71"/>
    <mergeCell ref="A85:T85"/>
    <mergeCell ref="A95:T95"/>
    <mergeCell ref="A15:T15"/>
    <mergeCell ref="A20:T20"/>
    <mergeCell ref="A24:T24"/>
    <mergeCell ref="A27:T27"/>
    <mergeCell ref="A30:T30"/>
    <mergeCell ref="A33:T33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27.28515625" style="55" bestFit="1" customWidth="1"/>
    <col min="7" max="9" width="5.5703125" style="55" bestFit="1" customWidth="1"/>
    <col min="10" max="10" width="4.85546875" style="55" bestFit="1" customWidth="1"/>
    <col min="11" max="11" width="6.7109375" style="55" bestFit="1" customWidth="1"/>
    <col min="12" max="12" width="8.5703125" style="55" bestFit="1" customWidth="1"/>
    <col min="13" max="13" width="14.28515625" style="55" bestFit="1" customWidth="1"/>
  </cols>
  <sheetData>
    <row r="1" spans="1:13" s="1" customFormat="1" ht="15" customHeight="1">
      <c r="A1" s="27" t="s">
        <v>2357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5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742</v>
      </c>
      <c r="B6" s="56" t="s">
        <v>743</v>
      </c>
      <c r="C6" s="56" t="s">
        <v>744</v>
      </c>
      <c r="D6" s="56" t="str">
        <f>"0,5905"</f>
        <v>0,5905</v>
      </c>
      <c r="E6" s="56" t="s">
        <v>17</v>
      </c>
      <c r="F6" s="56" t="s">
        <v>745</v>
      </c>
      <c r="G6" s="56" t="s">
        <v>20</v>
      </c>
      <c r="H6" s="56" t="s">
        <v>21</v>
      </c>
      <c r="I6" s="57" t="s">
        <v>30</v>
      </c>
      <c r="J6" s="57"/>
      <c r="K6" s="56">
        <v>180</v>
      </c>
      <c r="L6" s="56" t="str">
        <f>"106,2900"</f>
        <v>106,2900</v>
      </c>
      <c r="M6" s="56" t="s">
        <v>746</v>
      </c>
    </row>
    <row r="8" spans="1:13" ht="15">
      <c r="A8" s="58" t="s">
        <v>68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9" t="s">
        <v>747</v>
      </c>
      <c r="B9" s="59" t="s">
        <v>748</v>
      </c>
      <c r="C9" s="59" t="s">
        <v>749</v>
      </c>
      <c r="D9" s="59" t="str">
        <f>"0,5634"</f>
        <v>0,5634</v>
      </c>
      <c r="E9" s="59" t="s">
        <v>17</v>
      </c>
      <c r="F9" s="59" t="s">
        <v>750</v>
      </c>
      <c r="G9" s="59" t="s">
        <v>751</v>
      </c>
      <c r="H9" s="59" t="s">
        <v>752</v>
      </c>
      <c r="I9" s="60" t="s">
        <v>56</v>
      </c>
      <c r="J9" s="60"/>
      <c r="K9" s="59">
        <v>272.5</v>
      </c>
      <c r="L9" s="59" t="str">
        <f>"153,5129"</f>
        <v>153,5129</v>
      </c>
      <c r="M9" s="59"/>
    </row>
    <row r="10" spans="1:13">
      <c r="A10" s="63" t="s">
        <v>710</v>
      </c>
      <c r="B10" s="63" t="s">
        <v>711</v>
      </c>
      <c r="C10" s="63" t="s">
        <v>712</v>
      </c>
      <c r="D10" s="63" t="str">
        <f>"0,5714"</f>
        <v>0,5714</v>
      </c>
      <c r="E10" s="63" t="s">
        <v>17</v>
      </c>
      <c r="F10" s="63" t="s">
        <v>65</v>
      </c>
      <c r="G10" s="64" t="s">
        <v>52</v>
      </c>
      <c r="H10" s="64"/>
      <c r="I10" s="64"/>
      <c r="J10" s="64"/>
      <c r="K10" s="63">
        <v>0</v>
      </c>
      <c r="L10" s="63" t="str">
        <f>"0,0000"</f>
        <v>0,0000</v>
      </c>
      <c r="M10" s="63"/>
    </row>
    <row r="11" spans="1:13">
      <c r="A11" s="61" t="s">
        <v>753</v>
      </c>
      <c r="B11" s="61" t="s">
        <v>754</v>
      </c>
      <c r="C11" s="61" t="s">
        <v>715</v>
      </c>
      <c r="D11" s="61" t="str">
        <f>"0,6686"</f>
        <v>0,6686</v>
      </c>
      <c r="E11" s="61" t="s">
        <v>17</v>
      </c>
      <c r="F11" s="61" t="s">
        <v>755</v>
      </c>
      <c r="G11" s="61" t="s">
        <v>52</v>
      </c>
      <c r="H11" s="61" t="s">
        <v>36</v>
      </c>
      <c r="I11" s="62" t="s">
        <v>66</v>
      </c>
      <c r="J11" s="62"/>
      <c r="K11" s="61">
        <v>240</v>
      </c>
      <c r="L11" s="61" t="str">
        <f>"160,4651"</f>
        <v>160,4651</v>
      </c>
      <c r="M11" s="61"/>
    </row>
    <row r="13" spans="1:13" ht="15">
      <c r="A13" s="58" t="s">
        <v>271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3">
      <c r="A14" s="59" t="s">
        <v>717</v>
      </c>
      <c r="B14" s="59" t="s">
        <v>718</v>
      </c>
      <c r="C14" s="59" t="s">
        <v>719</v>
      </c>
      <c r="D14" s="59" t="str">
        <f>"0,5612"</f>
        <v>0,5612</v>
      </c>
      <c r="E14" s="59" t="s">
        <v>17</v>
      </c>
      <c r="F14" s="59" t="s">
        <v>481</v>
      </c>
      <c r="G14" s="59" t="s">
        <v>31</v>
      </c>
      <c r="H14" s="59" t="s">
        <v>36</v>
      </c>
      <c r="I14" s="59" t="s">
        <v>207</v>
      </c>
      <c r="J14" s="60"/>
      <c r="K14" s="59">
        <v>260</v>
      </c>
      <c r="L14" s="59" t="str">
        <f>"145,9120"</f>
        <v>145,9120</v>
      </c>
      <c r="M14" s="59"/>
    </row>
    <row r="15" spans="1:13">
      <c r="A15" s="61" t="s">
        <v>721</v>
      </c>
      <c r="B15" s="61" t="s">
        <v>722</v>
      </c>
      <c r="C15" s="61" t="s">
        <v>723</v>
      </c>
      <c r="D15" s="61" t="str">
        <f>"0,5815"</f>
        <v>0,5815</v>
      </c>
      <c r="E15" s="61" t="s">
        <v>17</v>
      </c>
      <c r="F15" s="61" t="s">
        <v>147</v>
      </c>
      <c r="G15" s="62" t="s">
        <v>36</v>
      </c>
      <c r="H15" s="62"/>
      <c r="I15" s="62"/>
      <c r="J15" s="62"/>
      <c r="K15" s="61">
        <v>0</v>
      </c>
      <c r="L15" s="61" t="str">
        <f>"0,0000"</f>
        <v>0,0000</v>
      </c>
      <c r="M15" s="61"/>
    </row>
    <row r="17" spans="1:5" ht="15">
      <c r="E17" s="65" t="s">
        <v>84</v>
      </c>
    </row>
    <row r="18" spans="1:5" ht="15">
      <c r="E18" s="65" t="s">
        <v>85</v>
      </c>
    </row>
    <row r="19" spans="1:5" ht="15">
      <c r="E19" s="65" t="s">
        <v>86</v>
      </c>
    </row>
    <row r="20" spans="1:5">
      <c r="E20" s="55" t="s">
        <v>87</v>
      </c>
    </row>
    <row r="21" spans="1:5">
      <c r="E21" s="55" t="s">
        <v>88</v>
      </c>
    </row>
    <row r="22" spans="1:5">
      <c r="E22" s="55" t="s">
        <v>89</v>
      </c>
    </row>
    <row r="25" spans="1:5" ht="18">
      <c r="A25" s="66" t="s">
        <v>90</v>
      </c>
      <c r="B25" s="66"/>
    </row>
    <row r="26" spans="1:5" ht="15">
      <c r="A26" s="67" t="s">
        <v>91</v>
      </c>
      <c r="B26" s="67"/>
    </row>
    <row r="27" spans="1:5" ht="14.25">
      <c r="A27" s="69" t="s">
        <v>100</v>
      </c>
      <c r="B27" s="70"/>
    </row>
    <row r="28" spans="1:5" ht="15">
      <c r="A28" s="71" t="s">
        <v>0</v>
      </c>
      <c r="B28" s="71" t="s">
        <v>93</v>
      </c>
      <c r="C28" s="71" t="s">
        <v>94</v>
      </c>
      <c r="D28" s="71" t="s">
        <v>7</v>
      </c>
      <c r="E28" s="71" t="s">
        <v>95</v>
      </c>
    </row>
    <row r="29" spans="1:5">
      <c r="A29" s="68" t="s">
        <v>747</v>
      </c>
      <c r="B29" s="55" t="s">
        <v>100</v>
      </c>
      <c r="C29" s="55" t="s">
        <v>101</v>
      </c>
      <c r="D29" s="55" t="s">
        <v>752</v>
      </c>
      <c r="E29" s="72" t="s">
        <v>756</v>
      </c>
    </row>
    <row r="30" spans="1:5">
      <c r="A30" s="68" t="s">
        <v>717</v>
      </c>
      <c r="B30" s="55" t="s">
        <v>100</v>
      </c>
      <c r="C30" s="55" t="s">
        <v>304</v>
      </c>
      <c r="D30" s="55" t="s">
        <v>207</v>
      </c>
      <c r="E30" s="72" t="s">
        <v>729</v>
      </c>
    </row>
    <row r="31" spans="1:5">
      <c r="A31" s="68" t="s">
        <v>742</v>
      </c>
      <c r="B31" s="55" t="s">
        <v>100</v>
      </c>
      <c r="C31" s="55" t="s">
        <v>104</v>
      </c>
      <c r="D31" s="55" t="s">
        <v>21</v>
      </c>
      <c r="E31" s="72" t="s">
        <v>757</v>
      </c>
    </row>
    <row r="33" spans="1:5" ht="14.25">
      <c r="A33" s="69" t="s">
        <v>297</v>
      </c>
      <c r="B33" s="70"/>
    </row>
    <row r="34" spans="1:5" ht="15">
      <c r="A34" s="71" t="s">
        <v>0</v>
      </c>
      <c r="B34" s="71" t="s">
        <v>93</v>
      </c>
      <c r="C34" s="71" t="s">
        <v>94</v>
      </c>
      <c r="D34" s="71" t="s">
        <v>7</v>
      </c>
      <c r="E34" s="71" t="s">
        <v>95</v>
      </c>
    </row>
    <row r="35" spans="1:5">
      <c r="A35" s="68" t="s">
        <v>753</v>
      </c>
      <c r="B35" s="55" t="s">
        <v>435</v>
      </c>
      <c r="C35" s="55" t="s">
        <v>101</v>
      </c>
      <c r="D35" s="55" t="s">
        <v>36</v>
      </c>
      <c r="E35" s="72" t="s">
        <v>758</v>
      </c>
    </row>
  </sheetData>
  <mergeCells count="14"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2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1.42578125" style="55" bestFit="1" customWidth="1"/>
    <col min="7" max="9" width="5.5703125" style="55" bestFit="1" customWidth="1"/>
    <col min="10" max="10" width="4.85546875" style="55" bestFit="1" customWidth="1"/>
    <col min="11" max="11" width="6.7109375" style="55" bestFit="1" customWidth="1"/>
    <col min="12" max="12" width="8.5703125" style="55" bestFit="1" customWidth="1"/>
    <col min="13" max="13" width="13.42578125" style="55" bestFit="1" customWidth="1"/>
  </cols>
  <sheetData>
    <row r="1" spans="1:13" s="1" customFormat="1" ht="15" customHeight="1">
      <c r="A1" s="27" t="s">
        <v>2353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5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189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682</v>
      </c>
      <c r="B6" s="56" t="s">
        <v>683</v>
      </c>
      <c r="C6" s="56" t="s">
        <v>684</v>
      </c>
      <c r="D6" s="56" t="str">
        <f>"0,8620"</f>
        <v>0,8620</v>
      </c>
      <c r="E6" s="56" t="s">
        <v>17</v>
      </c>
      <c r="F6" s="56" t="s">
        <v>72</v>
      </c>
      <c r="G6" s="57" t="s">
        <v>19</v>
      </c>
      <c r="H6" s="56" t="s">
        <v>19</v>
      </c>
      <c r="I6" s="56" t="s">
        <v>33</v>
      </c>
      <c r="J6" s="57"/>
      <c r="K6" s="56">
        <v>150</v>
      </c>
      <c r="L6" s="56" t="str">
        <f>"129,3075"</f>
        <v>129,3075</v>
      </c>
      <c r="M6" s="56"/>
    </row>
    <row r="8" spans="1:13" ht="15">
      <c r="A8" s="58" t="s">
        <v>143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685</v>
      </c>
      <c r="B9" s="56" t="s">
        <v>686</v>
      </c>
      <c r="C9" s="56" t="s">
        <v>176</v>
      </c>
      <c r="D9" s="56" t="str">
        <f>"0,7503"</f>
        <v>0,7503</v>
      </c>
      <c r="E9" s="56" t="s">
        <v>81</v>
      </c>
      <c r="F9" s="56" t="s">
        <v>82</v>
      </c>
      <c r="G9" s="56" t="s">
        <v>135</v>
      </c>
      <c r="H9" s="56" t="s">
        <v>160</v>
      </c>
      <c r="I9" s="57" t="s">
        <v>173</v>
      </c>
      <c r="J9" s="57"/>
      <c r="K9" s="56">
        <v>115</v>
      </c>
      <c r="L9" s="56" t="str">
        <f>"86,2902"</f>
        <v>86,2902</v>
      </c>
      <c r="M9" s="56"/>
    </row>
    <row r="11" spans="1:13" ht="15">
      <c r="A11" s="58" t="s">
        <v>189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>
      <c r="A12" s="59" t="s">
        <v>501</v>
      </c>
      <c r="B12" s="59" t="s">
        <v>502</v>
      </c>
      <c r="C12" s="59" t="s">
        <v>192</v>
      </c>
      <c r="D12" s="59" t="str">
        <f>"0,6885"</f>
        <v>0,6885</v>
      </c>
      <c r="E12" s="59" t="s">
        <v>81</v>
      </c>
      <c r="F12" s="59" t="s">
        <v>82</v>
      </c>
      <c r="G12" s="59" t="s">
        <v>43</v>
      </c>
      <c r="H12" s="60" t="s">
        <v>625</v>
      </c>
      <c r="I12" s="59" t="s">
        <v>625</v>
      </c>
      <c r="J12" s="60"/>
      <c r="K12" s="59">
        <v>177.5</v>
      </c>
      <c r="L12" s="59" t="str">
        <f>"122,2176"</f>
        <v>122,2176</v>
      </c>
      <c r="M12" s="59"/>
    </row>
    <row r="13" spans="1:13">
      <c r="A13" s="61" t="s">
        <v>687</v>
      </c>
      <c r="B13" s="61" t="s">
        <v>688</v>
      </c>
      <c r="C13" s="61" t="s">
        <v>689</v>
      </c>
      <c r="D13" s="61" t="str">
        <f>"0,7027"</f>
        <v>0,7027</v>
      </c>
      <c r="E13" s="61" t="s">
        <v>17</v>
      </c>
      <c r="F13" s="61" t="s">
        <v>29</v>
      </c>
      <c r="G13" s="62" t="s">
        <v>33</v>
      </c>
      <c r="H13" s="62" t="s">
        <v>42</v>
      </c>
      <c r="I13" s="62"/>
      <c r="J13" s="62"/>
      <c r="K13" s="61">
        <v>0</v>
      </c>
      <c r="L13" s="61" t="str">
        <f>"0,0000"</f>
        <v>0,0000</v>
      </c>
      <c r="M13" s="61" t="s">
        <v>690</v>
      </c>
    </row>
    <row r="15" spans="1:13" ht="15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3">
      <c r="A16" s="59" t="s">
        <v>691</v>
      </c>
      <c r="B16" s="59" t="s">
        <v>692</v>
      </c>
      <c r="C16" s="59" t="s">
        <v>693</v>
      </c>
      <c r="D16" s="59" t="str">
        <f>"0,6585"</f>
        <v>0,6585</v>
      </c>
      <c r="E16" s="59" t="s">
        <v>17</v>
      </c>
      <c r="F16" s="59" t="s">
        <v>72</v>
      </c>
      <c r="G16" s="59" t="s">
        <v>21</v>
      </c>
      <c r="H16" s="59" t="s">
        <v>83</v>
      </c>
      <c r="I16" s="60" t="s">
        <v>30</v>
      </c>
      <c r="J16" s="60"/>
      <c r="K16" s="59">
        <v>190</v>
      </c>
      <c r="L16" s="59" t="str">
        <f>"125,1173"</f>
        <v>125,1173</v>
      </c>
      <c r="M16" s="59"/>
    </row>
    <row r="17" spans="1:13">
      <c r="A17" s="61" t="s">
        <v>513</v>
      </c>
      <c r="B17" s="61" t="s">
        <v>514</v>
      </c>
      <c r="C17" s="61" t="s">
        <v>515</v>
      </c>
      <c r="D17" s="61" t="str">
        <f>"0,7180"</f>
        <v>0,7180</v>
      </c>
      <c r="E17" s="61" t="s">
        <v>81</v>
      </c>
      <c r="F17" s="61" t="s">
        <v>82</v>
      </c>
      <c r="G17" s="61" t="s">
        <v>32</v>
      </c>
      <c r="H17" s="61" t="s">
        <v>33</v>
      </c>
      <c r="I17" s="61" t="s">
        <v>20</v>
      </c>
      <c r="J17" s="62"/>
      <c r="K17" s="61">
        <v>160</v>
      </c>
      <c r="L17" s="61" t="str">
        <f>"114,8778"</f>
        <v>114,8778</v>
      </c>
      <c r="M17" s="61"/>
    </row>
    <row r="19" spans="1:13" ht="15">
      <c r="A19" s="58" t="s">
        <v>25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3">
      <c r="A20" s="59" t="s">
        <v>522</v>
      </c>
      <c r="B20" s="59" t="s">
        <v>523</v>
      </c>
      <c r="C20" s="59" t="s">
        <v>386</v>
      </c>
      <c r="D20" s="59" t="str">
        <f>"0,6130"</f>
        <v>0,6130</v>
      </c>
      <c r="E20" s="59" t="s">
        <v>81</v>
      </c>
      <c r="F20" s="59" t="s">
        <v>82</v>
      </c>
      <c r="G20" s="59" t="s">
        <v>173</v>
      </c>
      <c r="H20" s="60" t="s">
        <v>34</v>
      </c>
      <c r="I20" s="60" t="s">
        <v>34</v>
      </c>
      <c r="J20" s="60"/>
      <c r="K20" s="59">
        <v>130</v>
      </c>
      <c r="L20" s="59" t="str">
        <f>"79,6900"</f>
        <v>79,6900</v>
      </c>
      <c r="M20" s="59"/>
    </row>
    <row r="21" spans="1:13">
      <c r="A21" s="63" t="s">
        <v>694</v>
      </c>
      <c r="B21" s="63" t="s">
        <v>695</v>
      </c>
      <c r="C21" s="63" t="s">
        <v>221</v>
      </c>
      <c r="D21" s="63" t="str">
        <f>"0,6245"</f>
        <v>0,6245</v>
      </c>
      <c r="E21" s="63" t="s">
        <v>17</v>
      </c>
      <c r="F21" s="63" t="s">
        <v>696</v>
      </c>
      <c r="G21" s="63" t="s">
        <v>180</v>
      </c>
      <c r="H21" s="64" t="s">
        <v>36</v>
      </c>
      <c r="I21" s="64" t="s">
        <v>36</v>
      </c>
      <c r="J21" s="64"/>
      <c r="K21" s="63">
        <v>232.5</v>
      </c>
      <c r="L21" s="63" t="str">
        <f>"145,1951"</f>
        <v>145,1951</v>
      </c>
      <c r="M21" s="63" t="s">
        <v>697</v>
      </c>
    </row>
    <row r="22" spans="1:13">
      <c r="A22" s="61" t="s">
        <v>698</v>
      </c>
      <c r="B22" s="61" t="s">
        <v>699</v>
      </c>
      <c r="C22" s="61" t="s">
        <v>28</v>
      </c>
      <c r="D22" s="61" t="str">
        <f>"0,6742"</f>
        <v>0,6742</v>
      </c>
      <c r="E22" s="61" t="s">
        <v>17</v>
      </c>
      <c r="F22" s="61" t="s">
        <v>700</v>
      </c>
      <c r="G22" s="61" t="s">
        <v>42</v>
      </c>
      <c r="H22" s="61" t="s">
        <v>235</v>
      </c>
      <c r="I22" s="61" t="s">
        <v>625</v>
      </c>
      <c r="J22" s="62"/>
      <c r="K22" s="61">
        <v>177.5</v>
      </c>
      <c r="L22" s="61" t="str">
        <f>"119,6636"</f>
        <v>119,6636</v>
      </c>
      <c r="M22" s="61"/>
    </row>
    <row r="24" spans="1:13" ht="15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3">
      <c r="A25" s="59" t="s">
        <v>701</v>
      </c>
      <c r="B25" s="59" t="s">
        <v>702</v>
      </c>
      <c r="C25" s="59" t="s">
        <v>703</v>
      </c>
      <c r="D25" s="59" t="str">
        <f>"0,5843"</f>
        <v>0,5843</v>
      </c>
      <c r="E25" s="59" t="s">
        <v>17</v>
      </c>
      <c r="F25" s="59" t="s">
        <v>65</v>
      </c>
      <c r="G25" s="59" t="s">
        <v>36</v>
      </c>
      <c r="H25" s="59" t="s">
        <v>53</v>
      </c>
      <c r="I25" s="60" t="s">
        <v>236</v>
      </c>
      <c r="J25" s="60"/>
      <c r="K25" s="59">
        <v>245</v>
      </c>
      <c r="L25" s="59" t="str">
        <f>"143,1535"</f>
        <v>143,1535</v>
      </c>
      <c r="M25" s="59"/>
    </row>
    <row r="26" spans="1:13">
      <c r="A26" s="63" t="s">
        <v>704</v>
      </c>
      <c r="B26" s="63" t="s">
        <v>705</v>
      </c>
      <c r="C26" s="63" t="s">
        <v>706</v>
      </c>
      <c r="D26" s="63" t="str">
        <f>"0,5853"</f>
        <v>0,5853</v>
      </c>
      <c r="E26" s="63" t="s">
        <v>81</v>
      </c>
      <c r="F26" s="63" t="s">
        <v>82</v>
      </c>
      <c r="G26" s="63" t="s">
        <v>43</v>
      </c>
      <c r="H26" s="63" t="s">
        <v>67</v>
      </c>
      <c r="I26" s="64" t="s">
        <v>83</v>
      </c>
      <c r="J26" s="64"/>
      <c r="K26" s="63">
        <v>185</v>
      </c>
      <c r="L26" s="63" t="str">
        <f>"108,2897"</f>
        <v>108,2897</v>
      </c>
      <c r="M26" s="63"/>
    </row>
    <row r="27" spans="1:13">
      <c r="A27" s="61" t="s">
        <v>707</v>
      </c>
      <c r="B27" s="61" t="s">
        <v>708</v>
      </c>
      <c r="C27" s="61" t="s">
        <v>709</v>
      </c>
      <c r="D27" s="61" t="str">
        <f>"0,5828"</f>
        <v>0,5828</v>
      </c>
      <c r="E27" s="61" t="s">
        <v>81</v>
      </c>
      <c r="F27" s="61" t="s">
        <v>82</v>
      </c>
      <c r="G27" s="61" t="s">
        <v>36</v>
      </c>
      <c r="H27" s="61" t="s">
        <v>236</v>
      </c>
      <c r="I27" s="62" t="s">
        <v>241</v>
      </c>
      <c r="J27" s="62"/>
      <c r="K27" s="61">
        <v>255</v>
      </c>
      <c r="L27" s="61" t="str">
        <f>"148,6140"</f>
        <v>148,6140</v>
      </c>
      <c r="M27" s="61"/>
    </row>
    <row r="29" spans="1:13" ht="15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3">
      <c r="A30" s="59" t="s">
        <v>710</v>
      </c>
      <c r="B30" s="59" t="s">
        <v>711</v>
      </c>
      <c r="C30" s="59" t="s">
        <v>712</v>
      </c>
      <c r="D30" s="59" t="str">
        <f>"0,5714"</f>
        <v>0,5714</v>
      </c>
      <c r="E30" s="59" t="s">
        <v>17</v>
      </c>
      <c r="F30" s="59" t="s">
        <v>65</v>
      </c>
      <c r="G30" s="60" t="s">
        <v>52</v>
      </c>
      <c r="H30" s="60"/>
      <c r="I30" s="60"/>
      <c r="J30" s="60"/>
      <c r="K30" s="59">
        <v>0</v>
      </c>
      <c r="L30" s="59" t="str">
        <f>"0,0000"</f>
        <v>0,0000</v>
      </c>
      <c r="M30" s="59"/>
    </row>
    <row r="31" spans="1:13">
      <c r="A31" s="63" t="s">
        <v>713</v>
      </c>
      <c r="B31" s="63" t="s">
        <v>714</v>
      </c>
      <c r="C31" s="63" t="s">
        <v>715</v>
      </c>
      <c r="D31" s="63" t="str">
        <f>"0,5647"</f>
        <v>0,5647</v>
      </c>
      <c r="E31" s="63" t="s">
        <v>17</v>
      </c>
      <c r="F31" s="63" t="s">
        <v>441</v>
      </c>
      <c r="G31" s="64" t="s">
        <v>52</v>
      </c>
      <c r="H31" s="64"/>
      <c r="I31" s="64"/>
      <c r="J31" s="64"/>
      <c r="K31" s="63">
        <v>0</v>
      </c>
      <c r="L31" s="63" t="str">
        <f>"0,0000"</f>
        <v>0,0000</v>
      </c>
      <c r="M31" s="63"/>
    </row>
    <row r="32" spans="1:13">
      <c r="A32" s="61" t="s">
        <v>713</v>
      </c>
      <c r="B32" s="61" t="s">
        <v>716</v>
      </c>
      <c r="C32" s="61" t="s">
        <v>715</v>
      </c>
      <c r="D32" s="61" t="str">
        <f>"0,5703"</f>
        <v>0,5703</v>
      </c>
      <c r="E32" s="61" t="s">
        <v>17</v>
      </c>
      <c r="F32" s="61" t="s">
        <v>441</v>
      </c>
      <c r="G32" s="62" t="s">
        <v>52</v>
      </c>
      <c r="H32" s="62" t="s">
        <v>52</v>
      </c>
      <c r="I32" s="62" t="s">
        <v>52</v>
      </c>
      <c r="J32" s="62"/>
      <c r="K32" s="61">
        <v>0</v>
      </c>
      <c r="L32" s="61" t="str">
        <f>"0,0000"</f>
        <v>0,0000</v>
      </c>
      <c r="M32" s="61"/>
    </row>
    <row r="34" spans="1:13" ht="15">
      <c r="A34" s="58" t="s">
        <v>271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>
      <c r="A35" s="59" t="s">
        <v>717</v>
      </c>
      <c r="B35" s="59" t="s">
        <v>718</v>
      </c>
      <c r="C35" s="59" t="s">
        <v>719</v>
      </c>
      <c r="D35" s="59" t="str">
        <f>"0,5612"</f>
        <v>0,5612</v>
      </c>
      <c r="E35" s="59" t="s">
        <v>17</v>
      </c>
      <c r="F35" s="59" t="s">
        <v>481</v>
      </c>
      <c r="G35" s="59" t="s">
        <v>36</v>
      </c>
      <c r="H35" s="60" t="s">
        <v>720</v>
      </c>
      <c r="I35" s="59" t="s">
        <v>207</v>
      </c>
      <c r="J35" s="60"/>
      <c r="K35" s="59">
        <v>260</v>
      </c>
      <c r="L35" s="59" t="str">
        <f>"145,9120"</f>
        <v>145,9120</v>
      </c>
      <c r="M35" s="59"/>
    </row>
    <row r="36" spans="1:13">
      <c r="A36" s="63" t="s">
        <v>721</v>
      </c>
      <c r="B36" s="63" t="s">
        <v>722</v>
      </c>
      <c r="C36" s="63" t="s">
        <v>723</v>
      </c>
      <c r="D36" s="63" t="str">
        <f>"0,5815"</f>
        <v>0,5815</v>
      </c>
      <c r="E36" s="63" t="s">
        <v>17</v>
      </c>
      <c r="F36" s="63" t="s">
        <v>147</v>
      </c>
      <c r="G36" s="64" t="s">
        <v>36</v>
      </c>
      <c r="H36" s="64" t="s">
        <v>36</v>
      </c>
      <c r="I36" s="63" t="s">
        <v>53</v>
      </c>
      <c r="J36" s="64"/>
      <c r="K36" s="63">
        <v>245</v>
      </c>
      <c r="L36" s="63" t="str">
        <f>"142,4608"</f>
        <v>142,4608</v>
      </c>
      <c r="M36" s="63"/>
    </row>
    <row r="37" spans="1:13">
      <c r="A37" s="61" t="s">
        <v>724</v>
      </c>
      <c r="B37" s="61" t="s">
        <v>725</v>
      </c>
      <c r="C37" s="61" t="s">
        <v>726</v>
      </c>
      <c r="D37" s="61" t="str">
        <f>"0,5753"</f>
        <v>0,5753</v>
      </c>
      <c r="E37" s="61" t="s">
        <v>17</v>
      </c>
      <c r="F37" s="61" t="s">
        <v>727</v>
      </c>
      <c r="G37" s="61" t="s">
        <v>186</v>
      </c>
      <c r="H37" s="62" t="s">
        <v>44</v>
      </c>
      <c r="I37" s="62" t="s">
        <v>44</v>
      </c>
      <c r="J37" s="62"/>
      <c r="K37" s="61">
        <v>205</v>
      </c>
      <c r="L37" s="61" t="str">
        <f>"117,9466"</f>
        <v>117,9466</v>
      </c>
      <c r="M37" s="61"/>
    </row>
    <row r="39" spans="1:13" ht="15">
      <c r="E39" s="65" t="s">
        <v>84</v>
      </c>
    </row>
    <row r="40" spans="1:13" ht="15">
      <c r="E40" s="65" t="s">
        <v>85</v>
      </c>
    </row>
    <row r="41" spans="1:13" ht="15">
      <c r="E41" s="65" t="s">
        <v>86</v>
      </c>
    </row>
    <row r="42" spans="1:13">
      <c r="E42" s="55" t="s">
        <v>87</v>
      </c>
    </row>
    <row r="43" spans="1:13">
      <c r="E43" s="55" t="s">
        <v>88</v>
      </c>
    </row>
    <row r="44" spans="1:13">
      <c r="E44" s="55" t="s">
        <v>89</v>
      </c>
    </row>
    <row r="47" spans="1:13" ht="18">
      <c r="A47" s="66" t="s">
        <v>90</v>
      </c>
      <c r="B47" s="66"/>
    </row>
    <row r="48" spans="1:13" ht="15">
      <c r="A48" s="67" t="s">
        <v>284</v>
      </c>
      <c r="B48" s="67"/>
    </row>
    <row r="49" spans="1:5" ht="14.25">
      <c r="A49" s="69" t="s">
        <v>100</v>
      </c>
      <c r="B49" s="70"/>
    </row>
    <row r="50" spans="1:5" ht="15">
      <c r="A50" s="71" t="s">
        <v>0</v>
      </c>
      <c r="B50" s="71" t="s">
        <v>93</v>
      </c>
      <c r="C50" s="71" t="s">
        <v>94</v>
      </c>
      <c r="D50" s="71" t="s">
        <v>7</v>
      </c>
      <c r="E50" s="71" t="s">
        <v>95</v>
      </c>
    </row>
    <row r="51" spans="1:5">
      <c r="A51" s="68" t="s">
        <v>682</v>
      </c>
      <c r="B51" s="55" t="s">
        <v>100</v>
      </c>
      <c r="C51" s="55" t="s">
        <v>310</v>
      </c>
      <c r="D51" s="55" t="s">
        <v>33</v>
      </c>
      <c r="E51" s="72" t="s">
        <v>728</v>
      </c>
    </row>
    <row r="54" spans="1:5" ht="15">
      <c r="A54" s="67" t="s">
        <v>91</v>
      </c>
      <c r="B54" s="67"/>
    </row>
    <row r="55" spans="1:5" ht="14.25">
      <c r="A55" s="69" t="s">
        <v>100</v>
      </c>
      <c r="B55" s="70"/>
    </row>
    <row r="56" spans="1:5" ht="15">
      <c r="A56" s="71" t="s">
        <v>0</v>
      </c>
      <c r="B56" s="71" t="s">
        <v>93</v>
      </c>
      <c r="C56" s="71" t="s">
        <v>94</v>
      </c>
      <c r="D56" s="71" t="s">
        <v>7</v>
      </c>
      <c r="E56" s="71" t="s">
        <v>95</v>
      </c>
    </row>
    <row r="57" spans="1:5">
      <c r="A57" s="68" t="s">
        <v>717</v>
      </c>
      <c r="B57" s="55" t="s">
        <v>100</v>
      </c>
      <c r="C57" s="55" t="s">
        <v>304</v>
      </c>
      <c r="D57" s="55" t="s">
        <v>207</v>
      </c>
      <c r="E57" s="72" t="s">
        <v>729</v>
      </c>
    </row>
    <row r="58" spans="1:5">
      <c r="A58" s="68" t="s">
        <v>701</v>
      </c>
      <c r="B58" s="55" t="s">
        <v>100</v>
      </c>
      <c r="C58" s="55" t="s">
        <v>104</v>
      </c>
      <c r="D58" s="55" t="s">
        <v>53</v>
      </c>
      <c r="E58" s="72" t="s">
        <v>730</v>
      </c>
    </row>
    <row r="59" spans="1:5">
      <c r="A59" s="68" t="s">
        <v>501</v>
      </c>
      <c r="B59" s="55" t="s">
        <v>100</v>
      </c>
      <c r="C59" s="55" t="s">
        <v>310</v>
      </c>
      <c r="D59" s="55" t="s">
        <v>625</v>
      </c>
      <c r="E59" s="72" t="s">
        <v>731</v>
      </c>
    </row>
    <row r="60" spans="1:5">
      <c r="A60" s="68" t="s">
        <v>704</v>
      </c>
      <c r="B60" s="55" t="s">
        <v>100</v>
      </c>
      <c r="C60" s="55" t="s">
        <v>104</v>
      </c>
      <c r="D60" s="55" t="s">
        <v>67</v>
      </c>
      <c r="E60" s="72" t="s">
        <v>732</v>
      </c>
    </row>
    <row r="61" spans="1:5">
      <c r="A61" s="68" t="s">
        <v>685</v>
      </c>
      <c r="B61" s="55" t="s">
        <v>100</v>
      </c>
      <c r="C61" s="55" t="s">
        <v>293</v>
      </c>
      <c r="D61" s="55" t="s">
        <v>160</v>
      </c>
      <c r="E61" s="72" t="s">
        <v>733</v>
      </c>
    </row>
    <row r="62" spans="1:5">
      <c r="A62" s="68" t="s">
        <v>522</v>
      </c>
      <c r="B62" s="55" t="s">
        <v>100</v>
      </c>
      <c r="C62" s="55" t="s">
        <v>111</v>
      </c>
      <c r="D62" s="55" t="s">
        <v>173</v>
      </c>
      <c r="E62" s="72" t="s">
        <v>734</v>
      </c>
    </row>
    <row r="64" spans="1:5" ht="14.25">
      <c r="A64" s="69" t="s">
        <v>297</v>
      </c>
      <c r="B64" s="70"/>
    </row>
    <row r="65" spans="1:5" ht="15">
      <c r="A65" s="71" t="s">
        <v>0</v>
      </c>
      <c r="B65" s="71" t="s">
        <v>93</v>
      </c>
      <c r="C65" s="71" t="s">
        <v>94</v>
      </c>
      <c r="D65" s="71" t="s">
        <v>7</v>
      </c>
      <c r="E65" s="71" t="s">
        <v>95</v>
      </c>
    </row>
    <row r="66" spans="1:5">
      <c r="A66" s="68" t="s">
        <v>707</v>
      </c>
      <c r="B66" s="55" t="s">
        <v>343</v>
      </c>
      <c r="C66" s="55" t="s">
        <v>104</v>
      </c>
      <c r="D66" s="55" t="s">
        <v>236</v>
      </c>
      <c r="E66" s="72" t="s">
        <v>735</v>
      </c>
    </row>
    <row r="67" spans="1:5">
      <c r="A67" s="68" t="s">
        <v>694</v>
      </c>
      <c r="B67" s="55" t="s">
        <v>343</v>
      </c>
      <c r="C67" s="55" t="s">
        <v>111</v>
      </c>
      <c r="D67" s="55" t="s">
        <v>180</v>
      </c>
      <c r="E67" s="72" t="s">
        <v>736</v>
      </c>
    </row>
    <row r="68" spans="1:5">
      <c r="A68" s="68" t="s">
        <v>721</v>
      </c>
      <c r="B68" s="55" t="s">
        <v>343</v>
      </c>
      <c r="C68" s="55" t="s">
        <v>304</v>
      </c>
      <c r="D68" s="55" t="s">
        <v>53</v>
      </c>
      <c r="E68" s="72" t="s">
        <v>737</v>
      </c>
    </row>
    <row r="69" spans="1:5">
      <c r="A69" s="68" t="s">
        <v>691</v>
      </c>
      <c r="B69" s="55" t="s">
        <v>343</v>
      </c>
      <c r="C69" s="55" t="s">
        <v>97</v>
      </c>
      <c r="D69" s="55" t="s">
        <v>83</v>
      </c>
      <c r="E69" s="72" t="s">
        <v>738</v>
      </c>
    </row>
    <row r="70" spans="1:5">
      <c r="A70" s="68" t="s">
        <v>698</v>
      </c>
      <c r="B70" s="55" t="s">
        <v>298</v>
      </c>
      <c r="C70" s="55" t="s">
        <v>111</v>
      </c>
      <c r="D70" s="55" t="s">
        <v>625</v>
      </c>
      <c r="E70" s="72" t="s">
        <v>739</v>
      </c>
    </row>
    <row r="71" spans="1:5">
      <c r="A71" s="68" t="s">
        <v>724</v>
      </c>
      <c r="B71" s="55" t="s">
        <v>343</v>
      </c>
      <c r="C71" s="55" t="s">
        <v>304</v>
      </c>
      <c r="D71" s="55" t="s">
        <v>186</v>
      </c>
      <c r="E71" s="72" t="s">
        <v>740</v>
      </c>
    </row>
    <row r="72" spans="1:5">
      <c r="A72" s="68" t="s">
        <v>513</v>
      </c>
      <c r="B72" s="55" t="s">
        <v>298</v>
      </c>
      <c r="C72" s="55" t="s">
        <v>97</v>
      </c>
      <c r="D72" s="55" t="s">
        <v>20</v>
      </c>
      <c r="E72" s="72" t="s">
        <v>741</v>
      </c>
    </row>
  </sheetData>
  <mergeCells count="19">
    <mergeCell ref="A15:L15"/>
    <mergeCell ref="A19:L19"/>
    <mergeCell ref="A24:L24"/>
    <mergeCell ref="A29:L29"/>
    <mergeCell ref="A34:L3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5"/>
  <sheetViews>
    <sheetView workbookViewId="0">
      <selection activeCell="J17" sqref="J17:J18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3" style="55" bestFit="1" customWidth="1"/>
    <col min="7" max="10" width="5.5703125" style="55" bestFit="1" customWidth="1"/>
    <col min="11" max="11" width="6.7109375" style="55" bestFit="1" customWidth="1"/>
    <col min="12" max="12" width="8.5703125" style="55" bestFit="1" customWidth="1"/>
    <col min="13" max="13" width="28.5703125" style="55" bestFit="1" customWidth="1"/>
  </cols>
  <sheetData>
    <row r="1" spans="1:13" s="1" customFormat="1" ht="15" customHeight="1">
      <c r="A1" s="27" t="s">
        <v>2358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5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455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456</v>
      </c>
      <c r="B6" s="56" t="s">
        <v>457</v>
      </c>
      <c r="C6" s="56" t="s">
        <v>458</v>
      </c>
      <c r="D6" s="56" t="str">
        <f>"1,1827"</f>
        <v>1,1827</v>
      </c>
      <c r="E6" s="56" t="s">
        <v>17</v>
      </c>
      <c r="F6" s="56" t="s">
        <v>459</v>
      </c>
      <c r="G6" s="56" t="s">
        <v>133</v>
      </c>
      <c r="H6" s="56" t="s">
        <v>124</v>
      </c>
      <c r="I6" s="57" t="s">
        <v>148</v>
      </c>
      <c r="J6" s="57"/>
      <c r="K6" s="56">
        <v>47.5</v>
      </c>
      <c r="L6" s="56" t="str">
        <f>"56,1783"</f>
        <v>56,1783</v>
      </c>
      <c r="M6" s="56"/>
    </row>
    <row r="8" spans="1:13" ht="15">
      <c r="A8" s="58" t="s">
        <v>116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9" t="s">
        <v>461</v>
      </c>
      <c r="B9" s="59" t="s">
        <v>462</v>
      </c>
      <c r="C9" s="59" t="s">
        <v>463</v>
      </c>
      <c r="D9" s="59" t="str">
        <f>"1,0469"</f>
        <v>1,0469</v>
      </c>
      <c r="E9" s="59" t="s">
        <v>17</v>
      </c>
      <c r="F9" s="59" t="s">
        <v>464</v>
      </c>
      <c r="G9" s="59" t="s">
        <v>155</v>
      </c>
      <c r="H9" s="60" t="s">
        <v>465</v>
      </c>
      <c r="I9" s="60" t="s">
        <v>465</v>
      </c>
      <c r="J9" s="60"/>
      <c r="K9" s="59">
        <v>85</v>
      </c>
      <c r="L9" s="59" t="str">
        <f>"88,9865"</f>
        <v>88,9865</v>
      </c>
      <c r="M9" s="59"/>
    </row>
    <row r="10" spans="1:13">
      <c r="A10" s="61" t="s">
        <v>466</v>
      </c>
      <c r="B10" s="61" t="s">
        <v>467</v>
      </c>
      <c r="C10" s="61" t="s">
        <v>468</v>
      </c>
      <c r="D10" s="61" t="str">
        <f>"1,0877"</f>
        <v>1,0877</v>
      </c>
      <c r="E10" s="61" t="s">
        <v>40</v>
      </c>
      <c r="F10" s="61" t="s">
        <v>41</v>
      </c>
      <c r="G10" s="61" t="s">
        <v>142</v>
      </c>
      <c r="H10" s="61" t="s">
        <v>165</v>
      </c>
      <c r="I10" s="61" t="s">
        <v>169</v>
      </c>
      <c r="J10" s="62"/>
      <c r="K10" s="61">
        <v>72.5</v>
      </c>
      <c r="L10" s="61" t="str">
        <f>"78,8583"</f>
        <v>78,8583</v>
      </c>
      <c r="M10" s="61"/>
    </row>
    <row r="12" spans="1:13" ht="15">
      <c r="A12" s="58" t="s">
        <v>127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3">
      <c r="A13" s="56" t="s">
        <v>469</v>
      </c>
      <c r="B13" s="56" t="s">
        <v>470</v>
      </c>
      <c r="C13" s="56" t="s">
        <v>471</v>
      </c>
      <c r="D13" s="56" t="str">
        <f>"1,0469"</f>
        <v>1,0469</v>
      </c>
      <c r="E13" s="56" t="s">
        <v>17</v>
      </c>
      <c r="F13" s="56" t="s">
        <v>464</v>
      </c>
      <c r="G13" s="56" t="s">
        <v>122</v>
      </c>
      <c r="H13" s="56" t="s">
        <v>136</v>
      </c>
      <c r="I13" s="56" t="s">
        <v>123</v>
      </c>
      <c r="J13" s="57"/>
      <c r="K13" s="56">
        <v>107.5</v>
      </c>
      <c r="L13" s="56" t="str">
        <f>"112,5374"</f>
        <v>112,5374</v>
      </c>
      <c r="M13" s="56"/>
    </row>
    <row r="15" spans="1:13" ht="15">
      <c r="A15" s="58" t="s">
        <v>143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3">
      <c r="A16" s="59" t="s">
        <v>472</v>
      </c>
      <c r="B16" s="59" t="s">
        <v>473</v>
      </c>
      <c r="C16" s="59" t="s">
        <v>474</v>
      </c>
      <c r="D16" s="59" t="str">
        <f>"0,9670"</f>
        <v>0,9670</v>
      </c>
      <c r="E16" s="59" t="s">
        <v>475</v>
      </c>
      <c r="F16" s="59" t="s">
        <v>476</v>
      </c>
      <c r="G16" s="59" t="s">
        <v>359</v>
      </c>
      <c r="H16" s="59" t="s">
        <v>121</v>
      </c>
      <c r="I16" s="59" t="s">
        <v>477</v>
      </c>
      <c r="J16" s="60"/>
      <c r="K16" s="59">
        <v>97.5</v>
      </c>
      <c r="L16" s="59" t="str">
        <f>"94,2825"</f>
        <v>94,2825</v>
      </c>
      <c r="M16" s="59"/>
    </row>
    <row r="17" spans="1:13">
      <c r="A17" s="61" t="s">
        <v>478</v>
      </c>
      <c r="B17" s="61" t="s">
        <v>479</v>
      </c>
      <c r="C17" s="61" t="s">
        <v>480</v>
      </c>
      <c r="D17" s="61" t="str">
        <f>"0,9721"</f>
        <v>0,9721</v>
      </c>
      <c r="E17" s="61" t="s">
        <v>17</v>
      </c>
      <c r="F17" s="61" t="s">
        <v>481</v>
      </c>
      <c r="G17" s="61" t="s">
        <v>148</v>
      </c>
      <c r="H17" s="61" t="s">
        <v>141</v>
      </c>
      <c r="I17" s="62" t="s">
        <v>482</v>
      </c>
      <c r="J17" s="62"/>
      <c r="K17" s="61">
        <v>60</v>
      </c>
      <c r="L17" s="61" t="str">
        <f>"58,3260"</f>
        <v>58,3260</v>
      </c>
      <c r="M17" s="61"/>
    </row>
    <row r="19" spans="1:13" ht="15">
      <c r="A19" s="58" t="s">
        <v>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3">
      <c r="A20" s="56" t="s">
        <v>483</v>
      </c>
      <c r="B20" s="56" t="s">
        <v>484</v>
      </c>
      <c r="C20" s="56" t="s">
        <v>214</v>
      </c>
      <c r="D20" s="56" t="str">
        <f>"0,8018"</f>
        <v>0,8018</v>
      </c>
      <c r="E20" s="56" t="s">
        <v>17</v>
      </c>
      <c r="F20" s="56" t="s">
        <v>215</v>
      </c>
      <c r="G20" s="56" t="s">
        <v>121</v>
      </c>
      <c r="H20" s="57" t="s">
        <v>135</v>
      </c>
      <c r="I20" s="56" t="s">
        <v>135</v>
      </c>
      <c r="J20" s="57"/>
      <c r="K20" s="56">
        <v>100</v>
      </c>
      <c r="L20" s="56" t="str">
        <f>"80,1750"</f>
        <v>80,1750</v>
      </c>
      <c r="M20" s="56" t="s">
        <v>485</v>
      </c>
    </row>
    <row r="22" spans="1:13" ht="15">
      <c r="A22" s="58" t="s">
        <v>143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3">
      <c r="A23" s="59" t="s">
        <v>486</v>
      </c>
      <c r="B23" s="59" t="s">
        <v>487</v>
      </c>
      <c r="C23" s="59" t="s">
        <v>488</v>
      </c>
      <c r="D23" s="59" t="str">
        <f>"0,7522"</f>
        <v>0,7522</v>
      </c>
      <c r="E23" s="59" t="s">
        <v>17</v>
      </c>
      <c r="F23" s="59" t="s">
        <v>489</v>
      </c>
      <c r="G23" s="59" t="s">
        <v>33</v>
      </c>
      <c r="H23" s="59" t="s">
        <v>194</v>
      </c>
      <c r="I23" s="59" t="s">
        <v>490</v>
      </c>
      <c r="J23" s="60"/>
      <c r="K23" s="59">
        <v>160</v>
      </c>
      <c r="L23" s="59" t="str">
        <f>"120,3520"</f>
        <v>120,3520</v>
      </c>
      <c r="M23" s="59"/>
    </row>
    <row r="24" spans="1:13">
      <c r="A24" s="63" t="s">
        <v>491</v>
      </c>
      <c r="B24" s="63" t="s">
        <v>492</v>
      </c>
      <c r="C24" s="63" t="s">
        <v>362</v>
      </c>
      <c r="D24" s="63" t="str">
        <f>"0,7484"</f>
        <v>0,7484</v>
      </c>
      <c r="E24" s="63" t="s">
        <v>17</v>
      </c>
      <c r="F24" s="63" t="s">
        <v>441</v>
      </c>
      <c r="G24" s="63" t="s">
        <v>33</v>
      </c>
      <c r="H24" s="64" t="s">
        <v>20</v>
      </c>
      <c r="I24" s="64" t="s">
        <v>20</v>
      </c>
      <c r="J24" s="64"/>
      <c r="K24" s="63">
        <v>150</v>
      </c>
      <c r="L24" s="63" t="str">
        <f>"112,2600"</f>
        <v>112,2600</v>
      </c>
      <c r="M24" s="63"/>
    </row>
    <row r="25" spans="1:13">
      <c r="A25" s="63" t="s">
        <v>486</v>
      </c>
      <c r="B25" s="63" t="s">
        <v>493</v>
      </c>
      <c r="C25" s="63" t="s">
        <v>488</v>
      </c>
      <c r="D25" s="63" t="str">
        <f>"0,8372"</f>
        <v>0,8372</v>
      </c>
      <c r="E25" s="63" t="s">
        <v>17</v>
      </c>
      <c r="F25" s="63" t="s">
        <v>489</v>
      </c>
      <c r="G25" s="63" t="s">
        <v>33</v>
      </c>
      <c r="H25" s="63" t="s">
        <v>194</v>
      </c>
      <c r="I25" s="63" t="s">
        <v>490</v>
      </c>
      <c r="J25" s="64"/>
      <c r="K25" s="63">
        <v>160</v>
      </c>
      <c r="L25" s="63" t="str">
        <f>"133,9518"</f>
        <v>133,9518</v>
      </c>
      <c r="M25" s="63"/>
    </row>
    <row r="26" spans="1:13">
      <c r="A26" s="61" t="s">
        <v>494</v>
      </c>
      <c r="B26" s="61" t="s">
        <v>495</v>
      </c>
      <c r="C26" s="61" t="s">
        <v>185</v>
      </c>
      <c r="D26" s="61" t="str">
        <f>"0,9786"</f>
        <v>0,9786</v>
      </c>
      <c r="E26" s="61" t="s">
        <v>40</v>
      </c>
      <c r="F26" s="61" t="s">
        <v>496</v>
      </c>
      <c r="G26" s="61" t="s">
        <v>131</v>
      </c>
      <c r="H26" s="61" t="s">
        <v>132</v>
      </c>
      <c r="I26" s="62" t="s">
        <v>121</v>
      </c>
      <c r="J26" s="62"/>
      <c r="K26" s="61">
        <v>90</v>
      </c>
      <c r="L26" s="61" t="str">
        <f>"88,0778"</f>
        <v>88,0778</v>
      </c>
      <c r="M26" s="61"/>
    </row>
    <row r="28" spans="1:13" ht="15">
      <c r="A28" s="58" t="s">
        <v>189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3">
      <c r="A29" s="59" t="s">
        <v>497</v>
      </c>
      <c r="B29" s="59" t="s">
        <v>498</v>
      </c>
      <c r="C29" s="59" t="s">
        <v>499</v>
      </c>
      <c r="D29" s="59" t="str">
        <f>"0,6975"</f>
        <v>0,6975</v>
      </c>
      <c r="E29" s="59" t="s">
        <v>17</v>
      </c>
      <c r="F29" s="59" t="s">
        <v>500</v>
      </c>
      <c r="G29" s="59" t="s">
        <v>22</v>
      </c>
      <c r="H29" s="59" t="s">
        <v>149</v>
      </c>
      <c r="I29" s="59" t="s">
        <v>173</v>
      </c>
      <c r="J29" s="60"/>
      <c r="K29" s="59">
        <v>130</v>
      </c>
      <c r="L29" s="59" t="str">
        <f>"90,6815"</f>
        <v>90,6815</v>
      </c>
      <c r="M29" s="59"/>
    </row>
    <row r="30" spans="1:13">
      <c r="A30" s="61" t="s">
        <v>501</v>
      </c>
      <c r="B30" s="61" t="s">
        <v>502</v>
      </c>
      <c r="C30" s="61" t="s">
        <v>192</v>
      </c>
      <c r="D30" s="61" t="str">
        <f>"0,6885"</f>
        <v>0,6885</v>
      </c>
      <c r="E30" s="61" t="s">
        <v>81</v>
      </c>
      <c r="F30" s="61" t="s">
        <v>82</v>
      </c>
      <c r="G30" s="61" t="s">
        <v>43</v>
      </c>
      <c r="H30" s="61" t="s">
        <v>54</v>
      </c>
      <c r="I30" s="61" t="s">
        <v>21</v>
      </c>
      <c r="J30" s="62"/>
      <c r="K30" s="61">
        <v>180</v>
      </c>
      <c r="L30" s="61" t="str">
        <f>"123,9390"</f>
        <v>123,9390</v>
      </c>
      <c r="M30" s="61"/>
    </row>
    <row r="32" spans="1:13" ht="15">
      <c r="A32" s="58" t="s">
        <v>13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3">
      <c r="A33" s="59" t="s">
        <v>503</v>
      </c>
      <c r="B33" s="59" t="s">
        <v>504</v>
      </c>
      <c r="C33" s="59" t="s">
        <v>505</v>
      </c>
      <c r="D33" s="59" t="str">
        <f>"0,6768"</f>
        <v>0,6768</v>
      </c>
      <c r="E33" s="59" t="s">
        <v>17</v>
      </c>
      <c r="F33" s="59" t="s">
        <v>506</v>
      </c>
      <c r="G33" s="59" t="s">
        <v>160</v>
      </c>
      <c r="H33" s="60" t="s">
        <v>149</v>
      </c>
      <c r="I33" s="59" t="s">
        <v>149</v>
      </c>
      <c r="J33" s="60"/>
      <c r="K33" s="59">
        <v>120</v>
      </c>
      <c r="L33" s="59" t="str">
        <f>"81,2100"</f>
        <v>81,2100</v>
      </c>
      <c r="M33" s="59"/>
    </row>
    <row r="34" spans="1:13">
      <c r="A34" s="63" t="s">
        <v>507</v>
      </c>
      <c r="B34" s="63" t="s">
        <v>508</v>
      </c>
      <c r="C34" s="63" t="s">
        <v>509</v>
      </c>
      <c r="D34" s="63" t="str">
        <f>"0,6589"</f>
        <v>0,6589</v>
      </c>
      <c r="E34" s="63" t="s">
        <v>17</v>
      </c>
      <c r="F34" s="63" t="s">
        <v>29</v>
      </c>
      <c r="G34" s="63" t="s">
        <v>173</v>
      </c>
      <c r="H34" s="63" t="s">
        <v>32</v>
      </c>
      <c r="I34" s="64" t="s">
        <v>33</v>
      </c>
      <c r="J34" s="64"/>
      <c r="K34" s="63">
        <v>140</v>
      </c>
      <c r="L34" s="63" t="str">
        <f>"92,2530"</f>
        <v>92,2530</v>
      </c>
      <c r="M34" s="63" t="s">
        <v>137</v>
      </c>
    </row>
    <row r="35" spans="1:13">
      <c r="A35" s="63" t="s">
        <v>510</v>
      </c>
      <c r="B35" s="63" t="s">
        <v>511</v>
      </c>
      <c r="C35" s="63" t="s">
        <v>512</v>
      </c>
      <c r="D35" s="63" t="str">
        <f>"0,6497"</f>
        <v>0,6497</v>
      </c>
      <c r="E35" s="63" t="s">
        <v>17</v>
      </c>
      <c r="F35" s="63" t="s">
        <v>29</v>
      </c>
      <c r="G35" s="63" t="s">
        <v>21</v>
      </c>
      <c r="H35" s="63" t="s">
        <v>67</v>
      </c>
      <c r="I35" s="64" t="s">
        <v>83</v>
      </c>
      <c r="J35" s="64"/>
      <c r="K35" s="63">
        <v>185</v>
      </c>
      <c r="L35" s="63" t="str">
        <f>"120,2037"</f>
        <v>120,2037</v>
      </c>
      <c r="M35" s="63"/>
    </row>
    <row r="36" spans="1:13">
      <c r="A36" s="63" t="s">
        <v>375</v>
      </c>
      <c r="B36" s="63" t="s">
        <v>376</v>
      </c>
      <c r="C36" s="63" t="s">
        <v>16</v>
      </c>
      <c r="D36" s="63" t="str">
        <f>"0,6446"</f>
        <v>0,6446</v>
      </c>
      <c r="E36" s="63" t="s">
        <v>269</v>
      </c>
      <c r="F36" s="63" t="s">
        <v>164</v>
      </c>
      <c r="G36" s="63" t="s">
        <v>34</v>
      </c>
      <c r="H36" s="63" t="s">
        <v>42</v>
      </c>
      <c r="I36" s="63" t="s">
        <v>235</v>
      </c>
      <c r="J36" s="64"/>
      <c r="K36" s="63">
        <v>172.5</v>
      </c>
      <c r="L36" s="63" t="str">
        <f>"111,1935"</f>
        <v>111,1935</v>
      </c>
      <c r="M36" s="63"/>
    </row>
    <row r="37" spans="1:13">
      <c r="A37" s="63" t="s">
        <v>375</v>
      </c>
      <c r="B37" s="63" t="s">
        <v>380</v>
      </c>
      <c r="C37" s="63" t="s">
        <v>16</v>
      </c>
      <c r="D37" s="63" t="str">
        <f>"0,6884"</f>
        <v>0,6884</v>
      </c>
      <c r="E37" s="63" t="s">
        <v>269</v>
      </c>
      <c r="F37" s="63" t="s">
        <v>164</v>
      </c>
      <c r="G37" s="63" t="s">
        <v>34</v>
      </c>
      <c r="H37" s="63" t="s">
        <v>42</v>
      </c>
      <c r="I37" s="63" t="s">
        <v>235</v>
      </c>
      <c r="J37" s="64"/>
      <c r="K37" s="63">
        <v>172.5</v>
      </c>
      <c r="L37" s="63" t="str">
        <f>"118,7546"</f>
        <v>118,7546</v>
      </c>
      <c r="M37" s="63"/>
    </row>
    <row r="38" spans="1:13">
      <c r="A38" s="61" t="s">
        <v>513</v>
      </c>
      <c r="B38" s="61" t="s">
        <v>514</v>
      </c>
      <c r="C38" s="61" t="s">
        <v>515</v>
      </c>
      <c r="D38" s="61" t="str">
        <f>"0,7180"</f>
        <v>0,7180</v>
      </c>
      <c r="E38" s="61" t="s">
        <v>81</v>
      </c>
      <c r="F38" s="61" t="s">
        <v>82</v>
      </c>
      <c r="G38" s="61" t="s">
        <v>149</v>
      </c>
      <c r="H38" s="61" t="s">
        <v>400</v>
      </c>
      <c r="I38" s="61" t="s">
        <v>32</v>
      </c>
      <c r="J38" s="62"/>
      <c r="K38" s="61">
        <v>140</v>
      </c>
      <c r="L38" s="61" t="str">
        <f>"100,5181"</f>
        <v>100,5181</v>
      </c>
      <c r="M38" s="61"/>
    </row>
    <row r="40" spans="1:13" ht="15">
      <c r="A40" s="58" t="s">
        <v>25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3">
      <c r="A41" s="59" t="s">
        <v>516</v>
      </c>
      <c r="B41" s="59" t="s">
        <v>517</v>
      </c>
      <c r="C41" s="59" t="s">
        <v>518</v>
      </c>
      <c r="D41" s="59" t="str">
        <f>"0,6238"</f>
        <v>0,6238</v>
      </c>
      <c r="E41" s="59" t="s">
        <v>17</v>
      </c>
      <c r="F41" s="59" t="s">
        <v>65</v>
      </c>
      <c r="G41" s="60" t="s">
        <v>20</v>
      </c>
      <c r="H41" s="59" t="s">
        <v>20</v>
      </c>
      <c r="I41" s="60" t="s">
        <v>42</v>
      </c>
      <c r="J41" s="60"/>
      <c r="K41" s="59">
        <v>160</v>
      </c>
      <c r="L41" s="59" t="str">
        <f>"99,8160"</f>
        <v>99,8160</v>
      </c>
      <c r="M41" s="59"/>
    </row>
    <row r="42" spans="1:13">
      <c r="A42" s="63" t="s">
        <v>519</v>
      </c>
      <c r="B42" s="63" t="s">
        <v>520</v>
      </c>
      <c r="C42" s="63" t="s">
        <v>521</v>
      </c>
      <c r="D42" s="63" t="str">
        <f>"0,6184"</f>
        <v>0,6184</v>
      </c>
      <c r="E42" s="63" t="s">
        <v>17</v>
      </c>
      <c r="F42" s="63" t="s">
        <v>153</v>
      </c>
      <c r="G42" s="63" t="s">
        <v>34</v>
      </c>
      <c r="H42" s="64" t="s">
        <v>42</v>
      </c>
      <c r="I42" s="64" t="s">
        <v>42</v>
      </c>
      <c r="J42" s="64"/>
      <c r="K42" s="63">
        <v>155</v>
      </c>
      <c r="L42" s="63" t="str">
        <f>"95,8597"</f>
        <v>95,8597</v>
      </c>
      <c r="M42" s="63"/>
    </row>
    <row r="43" spans="1:13">
      <c r="A43" s="63" t="s">
        <v>522</v>
      </c>
      <c r="B43" s="63" t="s">
        <v>523</v>
      </c>
      <c r="C43" s="63" t="s">
        <v>386</v>
      </c>
      <c r="D43" s="63" t="str">
        <f>"0,6130"</f>
        <v>0,6130</v>
      </c>
      <c r="E43" s="63" t="s">
        <v>81</v>
      </c>
      <c r="F43" s="63" t="s">
        <v>82</v>
      </c>
      <c r="G43" s="63" t="s">
        <v>173</v>
      </c>
      <c r="H43" s="63" t="s">
        <v>20</v>
      </c>
      <c r="I43" s="64" t="s">
        <v>178</v>
      </c>
      <c r="J43" s="64"/>
      <c r="K43" s="63">
        <v>160</v>
      </c>
      <c r="L43" s="63" t="str">
        <f>"98,0800"</f>
        <v>98,0800</v>
      </c>
      <c r="M43" s="63"/>
    </row>
    <row r="44" spans="1:13">
      <c r="A44" s="63" t="s">
        <v>524</v>
      </c>
      <c r="B44" s="63" t="s">
        <v>525</v>
      </c>
      <c r="C44" s="63" t="s">
        <v>526</v>
      </c>
      <c r="D44" s="63" t="str">
        <f>"0,6316"</f>
        <v>0,6316</v>
      </c>
      <c r="E44" s="63" t="s">
        <v>17</v>
      </c>
      <c r="F44" s="63" t="s">
        <v>72</v>
      </c>
      <c r="G44" s="63" t="s">
        <v>83</v>
      </c>
      <c r="H44" s="64" t="s">
        <v>30</v>
      </c>
      <c r="I44" s="64" t="s">
        <v>30</v>
      </c>
      <c r="J44" s="64"/>
      <c r="K44" s="63">
        <v>190</v>
      </c>
      <c r="L44" s="63" t="str">
        <f>"120,0022"</f>
        <v>120,0022</v>
      </c>
      <c r="M44" s="63"/>
    </row>
    <row r="45" spans="1:13">
      <c r="A45" s="63" t="s">
        <v>527</v>
      </c>
      <c r="B45" s="63" t="s">
        <v>528</v>
      </c>
      <c r="C45" s="63" t="s">
        <v>529</v>
      </c>
      <c r="D45" s="63" t="str">
        <f>"0,7633"</f>
        <v>0,7633</v>
      </c>
      <c r="E45" s="63" t="s">
        <v>17</v>
      </c>
      <c r="F45" s="63" t="s">
        <v>153</v>
      </c>
      <c r="G45" s="63" t="s">
        <v>173</v>
      </c>
      <c r="H45" s="63" t="s">
        <v>32</v>
      </c>
      <c r="I45" s="64" t="s">
        <v>19</v>
      </c>
      <c r="J45" s="64"/>
      <c r="K45" s="63">
        <v>140</v>
      </c>
      <c r="L45" s="63" t="str">
        <f>"106,8670"</f>
        <v>106,8670</v>
      </c>
      <c r="M45" s="63"/>
    </row>
    <row r="46" spans="1:13">
      <c r="A46" s="63" t="s">
        <v>530</v>
      </c>
      <c r="B46" s="63" t="s">
        <v>531</v>
      </c>
      <c r="C46" s="63" t="s">
        <v>39</v>
      </c>
      <c r="D46" s="63" t="str">
        <f>"0,7758"</f>
        <v>0,7758</v>
      </c>
      <c r="E46" s="63" t="s">
        <v>532</v>
      </c>
      <c r="F46" s="63" t="s">
        <v>533</v>
      </c>
      <c r="G46" s="63" t="s">
        <v>187</v>
      </c>
      <c r="H46" s="63" t="s">
        <v>149</v>
      </c>
      <c r="I46" s="64" t="s">
        <v>173</v>
      </c>
      <c r="J46" s="64"/>
      <c r="K46" s="63">
        <v>120</v>
      </c>
      <c r="L46" s="63" t="str">
        <f>"93,0991"</f>
        <v>93,0991</v>
      </c>
      <c r="M46" s="63"/>
    </row>
    <row r="47" spans="1:13">
      <c r="A47" s="63" t="s">
        <v>534</v>
      </c>
      <c r="B47" s="63" t="s">
        <v>535</v>
      </c>
      <c r="C47" s="63" t="s">
        <v>536</v>
      </c>
      <c r="D47" s="63" t="str">
        <f>"0,8732"</f>
        <v>0,8732</v>
      </c>
      <c r="E47" s="63" t="s">
        <v>17</v>
      </c>
      <c r="F47" s="63" t="s">
        <v>537</v>
      </c>
      <c r="G47" s="63" t="s">
        <v>19</v>
      </c>
      <c r="H47" s="63" t="s">
        <v>265</v>
      </c>
      <c r="I47" s="63" t="s">
        <v>194</v>
      </c>
      <c r="J47" s="64" t="s">
        <v>20</v>
      </c>
      <c r="K47" s="63">
        <v>157.5</v>
      </c>
      <c r="L47" s="63" t="str">
        <f>"137,5293"</f>
        <v>137,5293</v>
      </c>
      <c r="M47" s="63"/>
    </row>
    <row r="48" spans="1:13">
      <c r="A48" s="63" t="s">
        <v>538</v>
      </c>
      <c r="B48" s="63" t="s">
        <v>539</v>
      </c>
      <c r="C48" s="63" t="s">
        <v>540</v>
      </c>
      <c r="D48" s="63" t="str">
        <f>"0,9268"</f>
        <v>0,9268</v>
      </c>
      <c r="E48" s="63" t="s">
        <v>541</v>
      </c>
      <c r="F48" s="63" t="s">
        <v>542</v>
      </c>
      <c r="G48" s="64" t="s">
        <v>160</v>
      </c>
      <c r="H48" s="64" t="s">
        <v>160</v>
      </c>
      <c r="I48" s="63" t="s">
        <v>160</v>
      </c>
      <c r="J48" s="64"/>
      <c r="K48" s="63">
        <v>115</v>
      </c>
      <c r="L48" s="63" t="str">
        <f>"106,5866"</f>
        <v>106,5866</v>
      </c>
      <c r="M48" s="63" t="s">
        <v>543</v>
      </c>
    </row>
    <row r="49" spans="1:13">
      <c r="A49" s="61" t="s">
        <v>544</v>
      </c>
      <c r="B49" s="61" t="s">
        <v>545</v>
      </c>
      <c r="C49" s="61" t="s">
        <v>546</v>
      </c>
      <c r="D49" s="61" t="str">
        <f>"0,9900"</f>
        <v>0,9900</v>
      </c>
      <c r="E49" s="61" t="s">
        <v>17</v>
      </c>
      <c r="F49" s="61" t="s">
        <v>547</v>
      </c>
      <c r="G49" s="61" t="s">
        <v>149</v>
      </c>
      <c r="H49" s="61" t="s">
        <v>173</v>
      </c>
      <c r="I49" s="62" t="s">
        <v>355</v>
      </c>
      <c r="J49" s="62"/>
      <c r="K49" s="61">
        <v>130</v>
      </c>
      <c r="L49" s="61" t="str">
        <f>"128,6986"</f>
        <v>128,6986</v>
      </c>
      <c r="M49" s="61"/>
    </row>
    <row r="51" spans="1:13" ht="15">
      <c r="A51" s="58" t="s">
        <v>47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3">
      <c r="A52" s="59" t="s">
        <v>548</v>
      </c>
      <c r="B52" s="59" t="s">
        <v>549</v>
      </c>
      <c r="C52" s="59" t="s">
        <v>550</v>
      </c>
      <c r="D52" s="59" t="str">
        <f>"0,5813"</f>
        <v>0,5813</v>
      </c>
      <c r="E52" s="59" t="s">
        <v>17</v>
      </c>
      <c r="F52" s="59" t="s">
        <v>464</v>
      </c>
      <c r="G52" s="59" t="s">
        <v>43</v>
      </c>
      <c r="H52" s="60" t="s">
        <v>21</v>
      </c>
      <c r="I52" s="60" t="s">
        <v>21</v>
      </c>
      <c r="J52" s="60"/>
      <c r="K52" s="59">
        <v>170</v>
      </c>
      <c r="L52" s="59" t="str">
        <f>"98,8210"</f>
        <v>98,8210</v>
      </c>
      <c r="M52" s="59"/>
    </row>
    <row r="53" spans="1:13">
      <c r="A53" s="63" t="s">
        <v>551</v>
      </c>
      <c r="B53" s="63" t="s">
        <v>552</v>
      </c>
      <c r="C53" s="63" t="s">
        <v>553</v>
      </c>
      <c r="D53" s="63" t="str">
        <f>"0,5885"</f>
        <v>0,5885</v>
      </c>
      <c r="E53" s="63" t="s">
        <v>17</v>
      </c>
      <c r="F53" s="63" t="s">
        <v>72</v>
      </c>
      <c r="G53" s="63" t="s">
        <v>30</v>
      </c>
      <c r="H53" s="64" t="s">
        <v>61</v>
      </c>
      <c r="I53" s="63" t="s">
        <v>61</v>
      </c>
      <c r="J53" s="64"/>
      <c r="K53" s="63">
        <v>210</v>
      </c>
      <c r="L53" s="63" t="str">
        <f>"123,5955"</f>
        <v>123,5955</v>
      </c>
      <c r="M53" s="63"/>
    </row>
    <row r="54" spans="1:13">
      <c r="A54" s="63" t="s">
        <v>554</v>
      </c>
      <c r="B54" s="63" t="s">
        <v>555</v>
      </c>
      <c r="C54" s="63" t="s">
        <v>556</v>
      </c>
      <c r="D54" s="63" t="str">
        <f>"0,5856"</f>
        <v>0,5856</v>
      </c>
      <c r="E54" s="63" t="s">
        <v>40</v>
      </c>
      <c r="F54" s="63" t="s">
        <v>354</v>
      </c>
      <c r="G54" s="63" t="s">
        <v>379</v>
      </c>
      <c r="H54" s="63" t="s">
        <v>254</v>
      </c>
      <c r="I54" s="64" t="s">
        <v>30</v>
      </c>
      <c r="J54" s="64"/>
      <c r="K54" s="63">
        <v>192.5</v>
      </c>
      <c r="L54" s="63" t="str">
        <f>"112,7280"</f>
        <v>112,7280</v>
      </c>
      <c r="M54" s="63"/>
    </row>
    <row r="55" spans="1:13">
      <c r="A55" s="63" t="s">
        <v>557</v>
      </c>
      <c r="B55" s="63" t="s">
        <v>558</v>
      </c>
      <c r="C55" s="63" t="s">
        <v>559</v>
      </c>
      <c r="D55" s="63" t="str">
        <f>"0,5929"</f>
        <v>0,5929</v>
      </c>
      <c r="E55" s="63" t="s">
        <v>17</v>
      </c>
      <c r="F55" s="63" t="s">
        <v>72</v>
      </c>
      <c r="G55" s="63" t="s">
        <v>21</v>
      </c>
      <c r="H55" s="64" t="s">
        <v>83</v>
      </c>
      <c r="I55" s="63" t="s">
        <v>83</v>
      </c>
      <c r="J55" s="64"/>
      <c r="K55" s="63">
        <v>190</v>
      </c>
      <c r="L55" s="63" t="str">
        <f>"112,6415"</f>
        <v>112,6415</v>
      </c>
      <c r="M55" s="63"/>
    </row>
    <row r="56" spans="1:13">
      <c r="A56" s="63" t="s">
        <v>560</v>
      </c>
      <c r="B56" s="63" t="s">
        <v>561</v>
      </c>
      <c r="C56" s="63" t="s">
        <v>562</v>
      </c>
      <c r="D56" s="63" t="str">
        <f>"0,6538"</f>
        <v>0,6538</v>
      </c>
      <c r="E56" s="63" t="s">
        <v>17</v>
      </c>
      <c r="F56" s="63" t="s">
        <v>29</v>
      </c>
      <c r="G56" s="63" t="s">
        <v>126</v>
      </c>
      <c r="H56" s="63" t="s">
        <v>24</v>
      </c>
      <c r="I56" s="64" t="s">
        <v>19</v>
      </c>
      <c r="J56" s="64"/>
      <c r="K56" s="63">
        <v>135</v>
      </c>
      <c r="L56" s="63" t="str">
        <f>"88,2673"</f>
        <v>88,2673</v>
      </c>
      <c r="M56" s="63" t="s">
        <v>137</v>
      </c>
    </row>
    <row r="57" spans="1:13">
      <c r="A57" s="63" t="s">
        <v>563</v>
      </c>
      <c r="B57" s="63" t="s">
        <v>564</v>
      </c>
      <c r="C57" s="63" t="s">
        <v>391</v>
      </c>
      <c r="D57" s="63" t="str">
        <f>"0,7164"</f>
        <v>0,7164</v>
      </c>
      <c r="E57" s="63" t="s">
        <v>17</v>
      </c>
      <c r="F57" s="63" t="s">
        <v>72</v>
      </c>
      <c r="G57" s="63" t="s">
        <v>565</v>
      </c>
      <c r="H57" s="64" t="s">
        <v>31</v>
      </c>
      <c r="I57" s="63" t="s">
        <v>31</v>
      </c>
      <c r="J57" s="64"/>
      <c r="K57" s="63">
        <v>220</v>
      </c>
      <c r="L57" s="63" t="str">
        <f>"157,6036"</f>
        <v>157,6036</v>
      </c>
      <c r="M57" s="63"/>
    </row>
    <row r="58" spans="1:13">
      <c r="A58" s="61" t="s">
        <v>566</v>
      </c>
      <c r="B58" s="61" t="s">
        <v>567</v>
      </c>
      <c r="C58" s="61" t="s">
        <v>568</v>
      </c>
      <c r="D58" s="61" t="str">
        <f>"0,8522"</f>
        <v>0,8522</v>
      </c>
      <c r="E58" s="61" t="s">
        <v>17</v>
      </c>
      <c r="F58" s="61" t="s">
        <v>569</v>
      </c>
      <c r="G58" s="61" t="s">
        <v>135</v>
      </c>
      <c r="H58" s="62" t="s">
        <v>22</v>
      </c>
      <c r="I58" s="61" t="s">
        <v>22</v>
      </c>
      <c r="J58" s="62"/>
      <c r="K58" s="61">
        <v>110</v>
      </c>
      <c r="L58" s="61" t="str">
        <f>"93,7461"</f>
        <v>93,7461</v>
      </c>
      <c r="M58" s="61"/>
    </row>
    <row r="60" spans="1:13" ht="15">
      <c r="A60" s="58" t="s">
        <v>68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3">
      <c r="A61" s="59" t="s">
        <v>570</v>
      </c>
      <c r="B61" s="59" t="s">
        <v>571</v>
      </c>
      <c r="C61" s="59" t="s">
        <v>572</v>
      </c>
      <c r="D61" s="59" t="str">
        <f>"0,5694"</f>
        <v>0,5694</v>
      </c>
      <c r="E61" s="59" t="s">
        <v>17</v>
      </c>
      <c r="F61" s="59" t="s">
        <v>72</v>
      </c>
      <c r="G61" s="59" t="s">
        <v>30</v>
      </c>
      <c r="H61" s="59" t="s">
        <v>61</v>
      </c>
      <c r="I61" s="60" t="s">
        <v>44</v>
      </c>
      <c r="J61" s="60"/>
      <c r="K61" s="59">
        <v>210</v>
      </c>
      <c r="L61" s="59" t="str">
        <f>"119,5740"</f>
        <v>119,5740</v>
      </c>
      <c r="M61" s="59"/>
    </row>
    <row r="62" spans="1:13">
      <c r="A62" s="63" t="s">
        <v>573</v>
      </c>
      <c r="B62" s="63" t="s">
        <v>574</v>
      </c>
      <c r="C62" s="63" t="s">
        <v>575</v>
      </c>
      <c r="D62" s="63" t="str">
        <f>"0,5688"</f>
        <v>0,5688</v>
      </c>
      <c r="E62" s="63" t="s">
        <v>17</v>
      </c>
      <c r="F62" s="63" t="s">
        <v>29</v>
      </c>
      <c r="G62" s="63" t="s">
        <v>61</v>
      </c>
      <c r="H62" s="64" t="s">
        <v>378</v>
      </c>
      <c r="I62" s="64" t="s">
        <v>295</v>
      </c>
      <c r="J62" s="64"/>
      <c r="K62" s="63">
        <v>210</v>
      </c>
      <c r="L62" s="63" t="str">
        <f>"119,4585"</f>
        <v>119,4585</v>
      </c>
      <c r="M62" s="63" t="s">
        <v>576</v>
      </c>
    </row>
    <row r="63" spans="1:13">
      <c r="A63" s="63" t="s">
        <v>577</v>
      </c>
      <c r="B63" s="63" t="s">
        <v>578</v>
      </c>
      <c r="C63" s="63" t="s">
        <v>579</v>
      </c>
      <c r="D63" s="63" t="str">
        <f>"0,6043"</f>
        <v>0,6043</v>
      </c>
      <c r="E63" s="63" t="s">
        <v>17</v>
      </c>
      <c r="F63" s="63" t="s">
        <v>153</v>
      </c>
      <c r="G63" s="63" t="s">
        <v>43</v>
      </c>
      <c r="H63" s="63" t="s">
        <v>21</v>
      </c>
      <c r="I63" s="64" t="s">
        <v>580</v>
      </c>
      <c r="J63" s="64"/>
      <c r="K63" s="63">
        <v>180</v>
      </c>
      <c r="L63" s="63" t="str">
        <f>"108,7694"</f>
        <v>108,7694</v>
      </c>
      <c r="M63" s="63"/>
    </row>
    <row r="64" spans="1:13">
      <c r="A64" s="61" t="s">
        <v>581</v>
      </c>
      <c r="B64" s="61" t="s">
        <v>582</v>
      </c>
      <c r="C64" s="61" t="s">
        <v>583</v>
      </c>
      <c r="D64" s="61" t="str">
        <f>"0,6223"</f>
        <v>0,6223</v>
      </c>
      <c r="E64" s="61" t="s">
        <v>584</v>
      </c>
      <c r="F64" s="61" t="s">
        <v>72</v>
      </c>
      <c r="G64" s="61" t="s">
        <v>20</v>
      </c>
      <c r="H64" s="61" t="s">
        <v>43</v>
      </c>
      <c r="I64" s="61" t="s">
        <v>54</v>
      </c>
      <c r="J64" s="62"/>
      <c r="K64" s="61">
        <v>175</v>
      </c>
      <c r="L64" s="61" t="str">
        <f>"108,9074"</f>
        <v>108,9074</v>
      </c>
      <c r="M64" s="61"/>
    </row>
    <row r="66" spans="1:13" ht="15">
      <c r="A66" s="58" t="s">
        <v>271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3">
      <c r="A67" s="59" t="s">
        <v>585</v>
      </c>
      <c r="B67" s="59" t="s">
        <v>586</v>
      </c>
      <c r="C67" s="59" t="s">
        <v>587</v>
      </c>
      <c r="D67" s="59" t="str">
        <f>"0,5517"</f>
        <v>0,5517</v>
      </c>
      <c r="E67" s="59" t="s">
        <v>17</v>
      </c>
      <c r="F67" s="59" t="s">
        <v>147</v>
      </c>
      <c r="G67" s="59" t="s">
        <v>211</v>
      </c>
      <c r="H67" s="59" t="s">
        <v>52</v>
      </c>
      <c r="I67" s="59" t="s">
        <v>35</v>
      </c>
      <c r="J67" s="60"/>
      <c r="K67" s="59">
        <v>235</v>
      </c>
      <c r="L67" s="59" t="str">
        <f>"129,6378"</f>
        <v>129,6378</v>
      </c>
      <c r="M67" s="59"/>
    </row>
    <row r="68" spans="1:13">
      <c r="A68" s="63" t="s">
        <v>588</v>
      </c>
      <c r="B68" s="63" t="s">
        <v>589</v>
      </c>
      <c r="C68" s="63" t="s">
        <v>590</v>
      </c>
      <c r="D68" s="63" t="str">
        <f>"0,5611"</f>
        <v>0,5611</v>
      </c>
      <c r="E68" s="63" t="s">
        <v>17</v>
      </c>
      <c r="F68" s="63" t="s">
        <v>591</v>
      </c>
      <c r="G68" s="63" t="s">
        <v>30</v>
      </c>
      <c r="H68" s="63" t="s">
        <v>378</v>
      </c>
      <c r="I68" s="63" t="s">
        <v>31</v>
      </c>
      <c r="J68" s="64"/>
      <c r="K68" s="63">
        <v>220</v>
      </c>
      <c r="L68" s="63" t="str">
        <f>"123,4420"</f>
        <v>123,4420</v>
      </c>
      <c r="M68" s="63"/>
    </row>
    <row r="69" spans="1:13">
      <c r="A69" s="63" t="s">
        <v>592</v>
      </c>
      <c r="B69" s="63" t="s">
        <v>593</v>
      </c>
      <c r="C69" s="63" t="s">
        <v>594</v>
      </c>
      <c r="D69" s="63" t="str">
        <f>"0,5524"</f>
        <v>0,5524</v>
      </c>
      <c r="E69" s="63" t="s">
        <v>17</v>
      </c>
      <c r="F69" s="63" t="s">
        <v>595</v>
      </c>
      <c r="G69" s="64" t="s">
        <v>31</v>
      </c>
      <c r="H69" s="64" t="s">
        <v>31</v>
      </c>
      <c r="I69" s="63" t="s">
        <v>31</v>
      </c>
      <c r="J69" s="64"/>
      <c r="K69" s="63">
        <v>220</v>
      </c>
      <c r="L69" s="63" t="str">
        <f>"121,5280"</f>
        <v>121,5280</v>
      </c>
      <c r="M69" s="63"/>
    </row>
    <row r="70" spans="1:13">
      <c r="A70" s="63" t="s">
        <v>596</v>
      </c>
      <c r="B70" s="63" t="s">
        <v>597</v>
      </c>
      <c r="C70" s="63" t="s">
        <v>274</v>
      </c>
      <c r="D70" s="63" t="str">
        <f>"0,5609"</f>
        <v>0,5609</v>
      </c>
      <c r="E70" s="63" t="s">
        <v>17</v>
      </c>
      <c r="F70" s="63" t="s">
        <v>147</v>
      </c>
      <c r="G70" s="63" t="s">
        <v>21</v>
      </c>
      <c r="H70" s="63" t="s">
        <v>30</v>
      </c>
      <c r="I70" s="64" t="s">
        <v>61</v>
      </c>
      <c r="J70" s="64"/>
      <c r="K70" s="63">
        <v>200</v>
      </c>
      <c r="L70" s="63" t="str">
        <f>"112,1700"</f>
        <v>112,1700</v>
      </c>
      <c r="M70" s="63"/>
    </row>
    <row r="71" spans="1:13">
      <c r="A71" s="63" t="s">
        <v>598</v>
      </c>
      <c r="B71" s="63" t="s">
        <v>599</v>
      </c>
      <c r="C71" s="63" t="s">
        <v>600</v>
      </c>
      <c r="D71" s="63" t="str">
        <f>"0,5549"</f>
        <v>0,5549</v>
      </c>
      <c r="E71" s="63" t="s">
        <v>17</v>
      </c>
      <c r="F71" s="63" t="s">
        <v>601</v>
      </c>
      <c r="G71" s="63" t="s">
        <v>54</v>
      </c>
      <c r="H71" s="64" t="s">
        <v>188</v>
      </c>
      <c r="I71" s="64" t="s">
        <v>188</v>
      </c>
      <c r="J71" s="64"/>
      <c r="K71" s="63">
        <v>175</v>
      </c>
      <c r="L71" s="63" t="str">
        <f>"97,1075"</f>
        <v>97,1075</v>
      </c>
      <c r="M71" s="63"/>
    </row>
    <row r="72" spans="1:13">
      <c r="A72" s="63" t="s">
        <v>602</v>
      </c>
      <c r="B72" s="63" t="s">
        <v>603</v>
      </c>
      <c r="C72" s="63" t="s">
        <v>604</v>
      </c>
      <c r="D72" s="63" t="str">
        <f>"0,5520"</f>
        <v>0,5520</v>
      </c>
      <c r="E72" s="63" t="s">
        <v>17</v>
      </c>
      <c r="F72" s="63" t="s">
        <v>569</v>
      </c>
      <c r="G72" s="64" t="s">
        <v>74</v>
      </c>
      <c r="H72" s="64" t="s">
        <v>605</v>
      </c>
      <c r="I72" s="64" t="s">
        <v>605</v>
      </c>
      <c r="J72" s="64"/>
      <c r="K72" s="63">
        <v>0</v>
      </c>
      <c r="L72" s="63" t="str">
        <f>"0,0000"</f>
        <v>0,0000</v>
      </c>
      <c r="M72" s="63"/>
    </row>
    <row r="73" spans="1:13">
      <c r="A73" s="63" t="s">
        <v>606</v>
      </c>
      <c r="B73" s="63" t="s">
        <v>607</v>
      </c>
      <c r="C73" s="63" t="s">
        <v>608</v>
      </c>
      <c r="D73" s="63" t="str">
        <f>"0,5533"</f>
        <v>0,5533</v>
      </c>
      <c r="E73" s="63" t="s">
        <v>17</v>
      </c>
      <c r="F73" s="63" t="s">
        <v>29</v>
      </c>
      <c r="G73" s="63" t="s">
        <v>43</v>
      </c>
      <c r="H73" s="63" t="s">
        <v>21</v>
      </c>
      <c r="I73" s="63" t="s">
        <v>83</v>
      </c>
      <c r="J73" s="64"/>
      <c r="K73" s="63">
        <v>190</v>
      </c>
      <c r="L73" s="63" t="str">
        <f>"105,1270"</f>
        <v>105,1270</v>
      </c>
      <c r="M73" s="63"/>
    </row>
    <row r="74" spans="1:13">
      <c r="A74" s="63" t="s">
        <v>598</v>
      </c>
      <c r="B74" s="63" t="s">
        <v>609</v>
      </c>
      <c r="C74" s="63" t="s">
        <v>600</v>
      </c>
      <c r="D74" s="63" t="str">
        <f>"0,5721"</f>
        <v>0,5721</v>
      </c>
      <c r="E74" s="63" t="s">
        <v>17</v>
      </c>
      <c r="F74" s="63" t="s">
        <v>601</v>
      </c>
      <c r="G74" s="63" t="s">
        <v>54</v>
      </c>
      <c r="H74" s="64" t="s">
        <v>188</v>
      </c>
      <c r="I74" s="64" t="s">
        <v>188</v>
      </c>
      <c r="J74" s="64"/>
      <c r="K74" s="63">
        <v>175</v>
      </c>
      <c r="L74" s="63" t="str">
        <f>"100,1178"</f>
        <v>100,1178</v>
      </c>
      <c r="M74" s="63"/>
    </row>
    <row r="75" spans="1:13">
      <c r="A75" s="63" t="s">
        <v>592</v>
      </c>
      <c r="B75" s="63" t="s">
        <v>610</v>
      </c>
      <c r="C75" s="63" t="s">
        <v>594</v>
      </c>
      <c r="D75" s="63" t="str">
        <f>"0,5977"</f>
        <v>0,5977</v>
      </c>
      <c r="E75" s="63" t="s">
        <v>17</v>
      </c>
      <c r="F75" s="63" t="s">
        <v>595</v>
      </c>
      <c r="G75" s="64" t="s">
        <v>31</v>
      </c>
      <c r="H75" s="64" t="s">
        <v>31</v>
      </c>
      <c r="I75" s="63" t="s">
        <v>31</v>
      </c>
      <c r="J75" s="64"/>
      <c r="K75" s="63">
        <v>220</v>
      </c>
      <c r="L75" s="63" t="str">
        <f>"131,4933"</f>
        <v>131,4933</v>
      </c>
      <c r="M75" s="63"/>
    </row>
    <row r="76" spans="1:13">
      <c r="A76" s="63" t="s">
        <v>611</v>
      </c>
      <c r="B76" s="63" t="s">
        <v>612</v>
      </c>
      <c r="C76" s="63" t="s">
        <v>613</v>
      </c>
      <c r="D76" s="63" t="str">
        <f>"0,6348"</f>
        <v>0,6348</v>
      </c>
      <c r="E76" s="63" t="s">
        <v>17</v>
      </c>
      <c r="F76" s="63" t="s">
        <v>60</v>
      </c>
      <c r="G76" s="63" t="s">
        <v>32</v>
      </c>
      <c r="H76" s="63" t="s">
        <v>33</v>
      </c>
      <c r="I76" s="63" t="s">
        <v>20</v>
      </c>
      <c r="J76" s="64"/>
      <c r="K76" s="63">
        <v>160</v>
      </c>
      <c r="L76" s="63" t="str">
        <f>"101,5734"</f>
        <v>101,5734</v>
      </c>
      <c r="M76" s="63"/>
    </row>
    <row r="77" spans="1:13">
      <c r="A77" s="61" t="s">
        <v>614</v>
      </c>
      <c r="B77" s="61" t="s">
        <v>615</v>
      </c>
      <c r="C77" s="61" t="s">
        <v>616</v>
      </c>
      <c r="D77" s="61" t="str">
        <f>"0,6421"</f>
        <v>0,6421</v>
      </c>
      <c r="E77" s="61" t="s">
        <v>17</v>
      </c>
      <c r="F77" s="61" t="s">
        <v>72</v>
      </c>
      <c r="G77" s="61" t="s">
        <v>33</v>
      </c>
      <c r="H77" s="61" t="s">
        <v>34</v>
      </c>
      <c r="I77" s="61" t="s">
        <v>20</v>
      </c>
      <c r="J77" s="62"/>
      <c r="K77" s="61">
        <v>160</v>
      </c>
      <c r="L77" s="61" t="str">
        <f>"102,7344"</f>
        <v>102,7344</v>
      </c>
      <c r="M77" s="61"/>
    </row>
    <row r="79" spans="1:13" ht="15">
      <c r="A79" s="58" t="s">
        <v>617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3">
      <c r="A80" s="59" t="s">
        <v>618</v>
      </c>
      <c r="B80" s="59" t="s">
        <v>619</v>
      </c>
      <c r="C80" s="59" t="s">
        <v>620</v>
      </c>
      <c r="D80" s="59" t="str">
        <f>"0,5419"</f>
        <v>0,5419</v>
      </c>
      <c r="E80" s="59" t="s">
        <v>17</v>
      </c>
      <c r="F80" s="59" t="s">
        <v>569</v>
      </c>
      <c r="G80" s="60" t="s">
        <v>30</v>
      </c>
      <c r="H80" s="59" t="s">
        <v>186</v>
      </c>
      <c r="I80" s="60" t="s">
        <v>61</v>
      </c>
      <c r="J80" s="60"/>
      <c r="K80" s="59">
        <v>205</v>
      </c>
      <c r="L80" s="59" t="str">
        <f>"111,0957"</f>
        <v>111,0957</v>
      </c>
      <c r="M80" s="59" t="s">
        <v>621</v>
      </c>
    </row>
    <row r="81" spans="1:13">
      <c r="A81" s="61" t="s">
        <v>622</v>
      </c>
      <c r="B81" s="61" t="s">
        <v>623</v>
      </c>
      <c r="C81" s="61" t="s">
        <v>624</v>
      </c>
      <c r="D81" s="61" t="str">
        <f>"0,5454"</f>
        <v>0,5454</v>
      </c>
      <c r="E81" s="61" t="s">
        <v>17</v>
      </c>
      <c r="F81" s="61" t="s">
        <v>72</v>
      </c>
      <c r="G81" s="61" t="s">
        <v>625</v>
      </c>
      <c r="H81" s="62" t="s">
        <v>83</v>
      </c>
      <c r="I81" s="62"/>
      <c r="J81" s="62"/>
      <c r="K81" s="61">
        <v>177.5</v>
      </c>
      <c r="L81" s="61" t="str">
        <f>"96,8014"</f>
        <v>96,8014</v>
      </c>
      <c r="M81" s="61"/>
    </row>
    <row r="83" spans="1:13" ht="15">
      <c r="E83" s="65" t="s">
        <v>84</v>
      </c>
    </row>
    <row r="84" spans="1:13" ht="15">
      <c r="E84" s="65" t="s">
        <v>85</v>
      </c>
    </row>
    <row r="85" spans="1:13" ht="15">
      <c r="E85" s="65" t="s">
        <v>86</v>
      </c>
    </row>
    <row r="86" spans="1:13">
      <c r="E86" s="55" t="s">
        <v>87</v>
      </c>
    </row>
    <row r="87" spans="1:13">
      <c r="E87" s="55" t="s">
        <v>88</v>
      </c>
    </row>
    <row r="88" spans="1:13">
      <c r="E88" s="55" t="s">
        <v>89</v>
      </c>
    </row>
    <row r="91" spans="1:13" ht="18">
      <c r="A91" s="66" t="s">
        <v>90</v>
      </c>
      <c r="B91" s="66"/>
    </row>
    <row r="92" spans="1:13" ht="15">
      <c r="A92" s="67" t="s">
        <v>284</v>
      </c>
      <c r="B92" s="67"/>
    </row>
    <row r="93" spans="1:13" ht="14.25">
      <c r="A93" s="69" t="s">
        <v>285</v>
      </c>
      <c r="B93" s="70"/>
    </row>
    <row r="94" spans="1:13" ht="15">
      <c r="A94" s="71" t="s">
        <v>0</v>
      </c>
      <c r="B94" s="71" t="s">
        <v>93</v>
      </c>
      <c r="C94" s="71" t="s">
        <v>94</v>
      </c>
      <c r="D94" s="71" t="s">
        <v>7</v>
      </c>
      <c r="E94" s="71" t="s">
        <v>95</v>
      </c>
    </row>
    <row r="95" spans="1:13">
      <c r="A95" s="68" t="s">
        <v>456</v>
      </c>
      <c r="B95" s="55" t="s">
        <v>416</v>
      </c>
      <c r="C95" s="55" t="s">
        <v>626</v>
      </c>
      <c r="D95" s="55" t="s">
        <v>124</v>
      </c>
      <c r="E95" s="72" t="s">
        <v>627</v>
      </c>
    </row>
    <row r="97" spans="1:5" ht="14.25">
      <c r="A97" s="69" t="s">
        <v>100</v>
      </c>
      <c r="B97" s="70"/>
    </row>
    <row r="98" spans="1:5" ht="15">
      <c r="A98" s="71" t="s">
        <v>0</v>
      </c>
      <c r="B98" s="71" t="s">
        <v>93</v>
      </c>
      <c r="C98" s="71" t="s">
        <v>94</v>
      </c>
      <c r="D98" s="71" t="s">
        <v>7</v>
      </c>
      <c r="E98" s="71" t="s">
        <v>95</v>
      </c>
    </row>
    <row r="99" spans="1:5">
      <c r="A99" s="68" t="s">
        <v>472</v>
      </c>
      <c r="B99" s="55" t="s">
        <v>100</v>
      </c>
      <c r="C99" s="55" t="s">
        <v>293</v>
      </c>
      <c r="D99" s="55" t="s">
        <v>477</v>
      </c>
      <c r="E99" s="72" t="s">
        <v>628</v>
      </c>
    </row>
    <row r="100" spans="1:5">
      <c r="A100" s="68" t="s">
        <v>461</v>
      </c>
      <c r="B100" s="55" t="s">
        <v>100</v>
      </c>
      <c r="C100" s="55" t="s">
        <v>289</v>
      </c>
      <c r="D100" s="55" t="s">
        <v>155</v>
      </c>
      <c r="E100" s="72" t="s">
        <v>629</v>
      </c>
    </row>
    <row r="101" spans="1:5">
      <c r="A101" s="68" t="s">
        <v>483</v>
      </c>
      <c r="B101" s="55" t="s">
        <v>100</v>
      </c>
      <c r="C101" s="55" t="s">
        <v>97</v>
      </c>
      <c r="D101" s="55" t="s">
        <v>135</v>
      </c>
      <c r="E101" s="72" t="s">
        <v>630</v>
      </c>
    </row>
    <row r="102" spans="1:5">
      <c r="A102" s="68" t="s">
        <v>466</v>
      </c>
      <c r="B102" s="55" t="s">
        <v>100</v>
      </c>
      <c r="C102" s="55" t="s">
        <v>289</v>
      </c>
      <c r="D102" s="55" t="s">
        <v>169</v>
      </c>
      <c r="E102" s="72" t="s">
        <v>631</v>
      </c>
    </row>
    <row r="103" spans="1:5">
      <c r="A103" s="68" t="s">
        <v>478</v>
      </c>
      <c r="B103" s="55" t="s">
        <v>100</v>
      </c>
      <c r="C103" s="55" t="s">
        <v>293</v>
      </c>
      <c r="D103" s="55" t="s">
        <v>141</v>
      </c>
      <c r="E103" s="72" t="s">
        <v>632</v>
      </c>
    </row>
    <row r="105" spans="1:5" ht="14.25">
      <c r="A105" s="69" t="s">
        <v>297</v>
      </c>
      <c r="B105" s="70"/>
    </row>
    <row r="106" spans="1:5" ht="15">
      <c r="A106" s="71" t="s">
        <v>0</v>
      </c>
      <c r="B106" s="71" t="s">
        <v>93</v>
      </c>
      <c r="C106" s="71" t="s">
        <v>94</v>
      </c>
      <c r="D106" s="71" t="s">
        <v>7</v>
      </c>
      <c r="E106" s="71" t="s">
        <v>95</v>
      </c>
    </row>
    <row r="107" spans="1:5">
      <c r="A107" s="68" t="s">
        <v>469</v>
      </c>
      <c r="B107" s="55" t="s">
        <v>343</v>
      </c>
      <c r="C107" s="55" t="s">
        <v>287</v>
      </c>
      <c r="D107" s="55" t="s">
        <v>123</v>
      </c>
      <c r="E107" s="72" t="s">
        <v>633</v>
      </c>
    </row>
    <row r="110" spans="1:5" ht="15">
      <c r="A110" s="67" t="s">
        <v>91</v>
      </c>
      <c r="B110" s="67"/>
    </row>
    <row r="111" spans="1:5" ht="14.25">
      <c r="A111" s="69" t="s">
        <v>285</v>
      </c>
      <c r="B111" s="70"/>
    </row>
    <row r="112" spans="1:5" ht="15">
      <c r="A112" s="71" t="s">
        <v>0</v>
      </c>
      <c r="B112" s="71" t="s">
        <v>93</v>
      </c>
      <c r="C112" s="71" t="s">
        <v>94</v>
      </c>
      <c r="D112" s="71" t="s">
        <v>7</v>
      </c>
      <c r="E112" s="71" t="s">
        <v>95</v>
      </c>
    </row>
    <row r="113" spans="1:5">
      <c r="A113" s="68" t="s">
        <v>516</v>
      </c>
      <c r="B113" s="55" t="s">
        <v>286</v>
      </c>
      <c r="C113" s="55" t="s">
        <v>111</v>
      </c>
      <c r="D113" s="55" t="s">
        <v>20</v>
      </c>
      <c r="E113" s="72" t="s">
        <v>634</v>
      </c>
    </row>
    <row r="114" spans="1:5">
      <c r="A114" s="68" t="s">
        <v>497</v>
      </c>
      <c r="B114" s="55" t="s">
        <v>286</v>
      </c>
      <c r="C114" s="55" t="s">
        <v>310</v>
      </c>
      <c r="D114" s="55" t="s">
        <v>173</v>
      </c>
      <c r="E114" s="72" t="s">
        <v>635</v>
      </c>
    </row>
    <row r="115" spans="1:5">
      <c r="A115" s="68" t="s">
        <v>503</v>
      </c>
      <c r="B115" s="55" t="s">
        <v>286</v>
      </c>
      <c r="C115" s="55" t="s">
        <v>97</v>
      </c>
      <c r="D115" s="55" t="s">
        <v>149</v>
      </c>
      <c r="E115" s="72" t="s">
        <v>636</v>
      </c>
    </row>
    <row r="117" spans="1:5" ht="14.25">
      <c r="A117" s="69" t="s">
        <v>92</v>
      </c>
      <c r="B117" s="70"/>
    </row>
    <row r="118" spans="1:5" ht="15">
      <c r="A118" s="71" t="s">
        <v>0</v>
      </c>
      <c r="B118" s="71" t="s">
        <v>93</v>
      </c>
      <c r="C118" s="71" t="s">
        <v>94</v>
      </c>
      <c r="D118" s="71" t="s">
        <v>7</v>
      </c>
      <c r="E118" s="71" t="s">
        <v>95</v>
      </c>
    </row>
    <row r="119" spans="1:5">
      <c r="A119" s="68" t="s">
        <v>585</v>
      </c>
      <c r="B119" s="55" t="s">
        <v>96</v>
      </c>
      <c r="C119" s="55" t="s">
        <v>304</v>
      </c>
      <c r="D119" s="55" t="s">
        <v>35</v>
      </c>
      <c r="E119" s="72" t="s">
        <v>637</v>
      </c>
    </row>
    <row r="120" spans="1:5">
      <c r="A120" s="68" t="s">
        <v>548</v>
      </c>
      <c r="B120" s="55" t="s">
        <v>96</v>
      </c>
      <c r="C120" s="55" t="s">
        <v>104</v>
      </c>
      <c r="D120" s="55" t="s">
        <v>43</v>
      </c>
      <c r="E120" s="72" t="s">
        <v>638</v>
      </c>
    </row>
    <row r="121" spans="1:5">
      <c r="A121" s="68" t="s">
        <v>519</v>
      </c>
      <c r="B121" s="55" t="s">
        <v>96</v>
      </c>
      <c r="C121" s="55" t="s">
        <v>111</v>
      </c>
      <c r="D121" s="55" t="s">
        <v>34</v>
      </c>
      <c r="E121" s="72" t="s">
        <v>639</v>
      </c>
    </row>
    <row r="122" spans="1:5">
      <c r="A122" s="68" t="s">
        <v>507</v>
      </c>
      <c r="B122" s="55" t="s">
        <v>96</v>
      </c>
      <c r="C122" s="55" t="s">
        <v>97</v>
      </c>
      <c r="D122" s="55" t="s">
        <v>32</v>
      </c>
      <c r="E122" s="72" t="s">
        <v>640</v>
      </c>
    </row>
    <row r="124" spans="1:5" ht="14.25">
      <c r="A124" s="69" t="s">
        <v>100</v>
      </c>
      <c r="B124" s="70"/>
    </row>
    <row r="125" spans="1:5" ht="15">
      <c r="A125" s="71" t="s">
        <v>0</v>
      </c>
      <c r="B125" s="71" t="s">
        <v>93</v>
      </c>
      <c r="C125" s="71" t="s">
        <v>94</v>
      </c>
      <c r="D125" s="71" t="s">
        <v>7</v>
      </c>
      <c r="E125" s="71" t="s">
        <v>95</v>
      </c>
    </row>
    <row r="126" spans="1:5">
      <c r="A126" s="68" t="s">
        <v>501</v>
      </c>
      <c r="B126" s="55" t="s">
        <v>100</v>
      </c>
      <c r="C126" s="55" t="s">
        <v>310</v>
      </c>
      <c r="D126" s="55" t="s">
        <v>21</v>
      </c>
      <c r="E126" s="72" t="s">
        <v>641</v>
      </c>
    </row>
    <row r="127" spans="1:5">
      <c r="A127" s="68" t="s">
        <v>551</v>
      </c>
      <c r="B127" s="55" t="s">
        <v>100</v>
      </c>
      <c r="C127" s="55" t="s">
        <v>104</v>
      </c>
      <c r="D127" s="55" t="s">
        <v>61</v>
      </c>
      <c r="E127" s="72" t="s">
        <v>642</v>
      </c>
    </row>
    <row r="128" spans="1:5">
      <c r="A128" s="68" t="s">
        <v>588</v>
      </c>
      <c r="B128" s="55" t="s">
        <v>100</v>
      </c>
      <c r="C128" s="55" t="s">
        <v>304</v>
      </c>
      <c r="D128" s="55" t="s">
        <v>31</v>
      </c>
      <c r="E128" s="72" t="s">
        <v>643</v>
      </c>
    </row>
    <row r="129" spans="1:5">
      <c r="A129" s="68" t="s">
        <v>592</v>
      </c>
      <c r="B129" s="55" t="s">
        <v>100</v>
      </c>
      <c r="C129" s="55" t="s">
        <v>304</v>
      </c>
      <c r="D129" s="55" t="s">
        <v>31</v>
      </c>
      <c r="E129" s="72" t="s">
        <v>644</v>
      </c>
    </row>
    <row r="130" spans="1:5">
      <c r="A130" s="68" t="s">
        <v>486</v>
      </c>
      <c r="B130" s="55" t="s">
        <v>100</v>
      </c>
      <c r="C130" s="55" t="s">
        <v>293</v>
      </c>
      <c r="D130" s="55" t="s">
        <v>20</v>
      </c>
      <c r="E130" s="72" t="s">
        <v>645</v>
      </c>
    </row>
    <row r="131" spans="1:5">
      <c r="A131" s="68" t="s">
        <v>510</v>
      </c>
      <c r="B131" s="55" t="s">
        <v>100</v>
      </c>
      <c r="C131" s="55" t="s">
        <v>97</v>
      </c>
      <c r="D131" s="55" t="s">
        <v>67</v>
      </c>
      <c r="E131" s="72" t="s">
        <v>646</v>
      </c>
    </row>
    <row r="132" spans="1:5">
      <c r="A132" s="68" t="s">
        <v>570</v>
      </c>
      <c r="B132" s="55" t="s">
        <v>100</v>
      </c>
      <c r="C132" s="55" t="s">
        <v>101</v>
      </c>
      <c r="D132" s="55" t="s">
        <v>61</v>
      </c>
      <c r="E132" s="72" t="s">
        <v>647</v>
      </c>
    </row>
    <row r="133" spans="1:5">
      <c r="A133" s="68" t="s">
        <v>573</v>
      </c>
      <c r="B133" s="55" t="s">
        <v>100</v>
      </c>
      <c r="C133" s="55" t="s">
        <v>101</v>
      </c>
      <c r="D133" s="55" t="s">
        <v>61</v>
      </c>
      <c r="E133" s="72" t="s">
        <v>648</v>
      </c>
    </row>
    <row r="134" spans="1:5">
      <c r="A134" s="68" t="s">
        <v>554</v>
      </c>
      <c r="B134" s="55" t="s">
        <v>100</v>
      </c>
      <c r="C134" s="55" t="s">
        <v>104</v>
      </c>
      <c r="D134" s="55" t="s">
        <v>254</v>
      </c>
      <c r="E134" s="72" t="s">
        <v>649</v>
      </c>
    </row>
    <row r="135" spans="1:5">
      <c r="A135" s="68" t="s">
        <v>557</v>
      </c>
      <c r="B135" s="55" t="s">
        <v>100</v>
      </c>
      <c r="C135" s="55" t="s">
        <v>104</v>
      </c>
      <c r="D135" s="55" t="s">
        <v>83</v>
      </c>
      <c r="E135" s="72" t="s">
        <v>650</v>
      </c>
    </row>
    <row r="136" spans="1:5">
      <c r="A136" s="68" t="s">
        <v>491</v>
      </c>
      <c r="B136" s="55" t="s">
        <v>100</v>
      </c>
      <c r="C136" s="55" t="s">
        <v>293</v>
      </c>
      <c r="D136" s="55" t="s">
        <v>33</v>
      </c>
      <c r="E136" s="72" t="s">
        <v>651</v>
      </c>
    </row>
    <row r="137" spans="1:5">
      <c r="A137" s="68" t="s">
        <v>596</v>
      </c>
      <c r="B137" s="55" t="s">
        <v>100</v>
      </c>
      <c r="C137" s="55" t="s">
        <v>304</v>
      </c>
      <c r="D137" s="55" t="s">
        <v>30</v>
      </c>
      <c r="E137" s="72" t="s">
        <v>652</v>
      </c>
    </row>
    <row r="138" spans="1:5">
      <c r="A138" s="68" t="s">
        <v>375</v>
      </c>
      <c r="B138" s="55" t="s">
        <v>100</v>
      </c>
      <c r="C138" s="55" t="s">
        <v>97</v>
      </c>
      <c r="D138" s="55" t="s">
        <v>235</v>
      </c>
      <c r="E138" s="72" t="s">
        <v>653</v>
      </c>
    </row>
    <row r="139" spans="1:5">
      <c r="A139" s="68" t="s">
        <v>618</v>
      </c>
      <c r="B139" s="55" t="s">
        <v>100</v>
      </c>
      <c r="C139" s="55" t="s">
        <v>654</v>
      </c>
      <c r="D139" s="55" t="s">
        <v>186</v>
      </c>
      <c r="E139" s="72" t="s">
        <v>655</v>
      </c>
    </row>
    <row r="140" spans="1:5">
      <c r="A140" s="68" t="s">
        <v>522</v>
      </c>
      <c r="B140" s="55" t="s">
        <v>100</v>
      </c>
      <c r="C140" s="55" t="s">
        <v>111</v>
      </c>
      <c r="D140" s="55" t="s">
        <v>20</v>
      </c>
      <c r="E140" s="72" t="s">
        <v>656</v>
      </c>
    </row>
    <row r="141" spans="1:5">
      <c r="A141" s="68" t="s">
        <v>598</v>
      </c>
      <c r="B141" s="55" t="s">
        <v>100</v>
      </c>
      <c r="C141" s="55" t="s">
        <v>304</v>
      </c>
      <c r="D141" s="55" t="s">
        <v>54</v>
      </c>
      <c r="E141" s="72" t="s">
        <v>657</v>
      </c>
    </row>
    <row r="142" spans="1:5">
      <c r="A142" s="68" t="s">
        <v>622</v>
      </c>
      <c r="B142" s="55" t="s">
        <v>100</v>
      </c>
      <c r="C142" s="55" t="s">
        <v>654</v>
      </c>
      <c r="D142" s="55" t="s">
        <v>625</v>
      </c>
      <c r="E142" s="72" t="s">
        <v>658</v>
      </c>
    </row>
    <row r="144" spans="1:5" ht="14.25">
      <c r="A144" s="69" t="s">
        <v>297</v>
      </c>
      <c r="B144" s="70"/>
    </row>
    <row r="145" spans="1:5" ht="15">
      <c r="A145" s="71" t="s">
        <v>0</v>
      </c>
      <c r="B145" s="71" t="s">
        <v>93</v>
      </c>
      <c r="C145" s="71" t="s">
        <v>94</v>
      </c>
      <c r="D145" s="71" t="s">
        <v>7</v>
      </c>
      <c r="E145" s="71" t="s">
        <v>95</v>
      </c>
    </row>
    <row r="146" spans="1:5">
      <c r="A146" s="68" t="s">
        <v>563</v>
      </c>
      <c r="B146" s="55" t="s">
        <v>659</v>
      </c>
      <c r="C146" s="55" t="s">
        <v>104</v>
      </c>
      <c r="D146" s="55" t="s">
        <v>31</v>
      </c>
      <c r="E146" s="72" t="s">
        <v>660</v>
      </c>
    </row>
    <row r="147" spans="1:5">
      <c r="A147" s="68" t="s">
        <v>534</v>
      </c>
      <c r="B147" s="55" t="s">
        <v>661</v>
      </c>
      <c r="C147" s="55" t="s">
        <v>111</v>
      </c>
      <c r="D147" s="55" t="s">
        <v>194</v>
      </c>
      <c r="E147" s="72" t="s">
        <v>662</v>
      </c>
    </row>
    <row r="148" spans="1:5">
      <c r="A148" s="68" t="s">
        <v>486</v>
      </c>
      <c r="B148" s="55" t="s">
        <v>298</v>
      </c>
      <c r="C148" s="55" t="s">
        <v>293</v>
      </c>
      <c r="D148" s="55" t="s">
        <v>20</v>
      </c>
      <c r="E148" s="72" t="s">
        <v>663</v>
      </c>
    </row>
    <row r="149" spans="1:5">
      <c r="A149" s="68" t="s">
        <v>592</v>
      </c>
      <c r="B149" s="55" t="s">
        <v>298</v>
      </c>
      <c r="C149" s="55" t="s">
        <v>304</v>
      </c>
      <c r="D149" s="55" t="s">
        <v>31</v>
      </c>
      <c r="E149" s="72" t="s">
        <v>664</v>
      </c>
    </row>
    <row r="150" spans="1:5">
      <c r="A150" s="68" t="s">
        <v>544</v>
      </c>
      <c r="B150" s="55" t="s">
        <v>665</v>
      </c>
      <c r="C150" s="55" t="s">
        <v>111</v>
      </c>
      <c r="D150" s="55" t="s">
        <v>173</v>
      </c>
      <c r="E150" s="72" t="s">
        <v>666</v>
      </c>
    </row>
    <row r="151" spans="1:5">
      <c r="A151" s="68" t="s">
        <v>524</v>
      </c>
      <c r="B151" s="55" t="s">
        <v>343</v>
      </c>
      <c r="C151" s="55" t="s">
        <v>111</v>
      </c>
      <c r="D151" s="55" t="s">
        <v>83</v>
      </c>
      <c r="E151" s="72" t="s">
        <v>667</v>
      </c>
    </row>
    <row r="152" spans="1:5">
      <c r="A152" s="68" t="s">
        <v>375</v>
      </c>
      <c r="B152" s="55" t="s">
        <v>298</v>
      </c>
      <c r="C152" s="55" t="s">
        <v>97</v>
      </c>
      <c r="D152" s="55" t="s">
        <v>235</v>
      </c>
      <c r="E152" s="72" t="s">
        <v>668</v>
      </c>
    </row>
    <row r="153" spans="1:5">
      <c r="A153" s="68" t="s">
        <v>581</v>
      </c>
      <c r="B153" s="55" t="s">
        <v>298</v>
      </c>
      <c r="C153" s="55" t="s">
        <v>101</v>
      </c>
      <c r="D153" s="55" t="s">
        <v>54</v>
      </c>
      <c r="E153" s="72" t="s">
        <v>669</v>
      </c>
    </row>
    <row r="154" spans="1:5">
      <c r="A154" s="68" t="s">
        <v>577</v>
      </c>
      <c r="B154" s="55" t="s">
        <v>298</v>
      </c>
      <c r="C154" s="55" t="s">
        <v>101</v>
      </c>
      <c r="D154" s="55" t="s">
        <v>21</v>
      </c>
      <c r="E154" s="72" t="s">
        <v>670</v>
      </c>
    </row>
    <row r="155" spans="1:5">
      <c r="A155" s="68" t="s">
        <v>527</v>
      </c>
      <c r="B155" s="55" t="s">
        <v>435</v>
      </c>
      <c r="C155" s="55" t="s">
        <v>111</v>
      </c>
      <c r="D155" s="55" t="s">
        <v>32</v>
      </c>
      <c r="E155" s="72" t="s">
        <v>671</v>
      </c>
    </row>
    <row r="156" spans="1:5">
      <c r="A156" s="68" t="s">
        <v>538</v>
      </c>
      <c r="B156" s="55" t="s">
        <v>661</v>
      </c>
      <c r="C156" s="55" t="s">
        <v>111</v>
      </c>
      <c r="D156" s="55" t="s">
        <v>160</v>
      </c>
      <c r="E156" s="72" t="s">
        <v>672</v>
      </c>
    </row>
    <row r="157" spans="1:5">
      <c r="A157" s="68" t="s">
        <v>606</v>
      </c>
      <c r="B157" s="55" t="s">
        <v>343</v>
      </c>
      <c r="C157" s="55" t="s">
        <v>304</v>
      </c>
      <c r="D157" s="55" t="s">
        <v>83</v>
      </c>
      <c r="E157" s="72" t="s">
        <v>673</v>
      </c>
    </row>
    <row r="158" spans="1:5">
      <c r="A158" s="68" t="s">
        <v>614</v>
      </c>
      <c r="B158" s="55" t="s">
        <v>435</v>
      </c>
      <c r="C158" s="55" t="s">
        <v>304</v>
      </c>
      <c r="D158" s="55" t="s">
        <v>20</v>
      </c>
      <c r="E158" s="72" t="s">
        <v>674</v>
      </c>
    </row>
    <row r="159" spans="1:5">
      <c r="A159" s="68" t="s">
        <v>611</v>
      </c>
      <c r="B159" s="55" t="s">
        <v>435</v>
      </c>
      <c r="C159" s="55" t="s">
        <v>304</v>
      </c>
      <c r="D159" s="55" t="s">
        <v>20</v>
      </c>
      <c r="E159" s="72" t="s">
        <v>675</v>
      </c>
    </row>
    <row r="160" spans="1:5">
      <c r="A160" s="68" t="s">
        <v>513</v>
      </c>
      <c r="B160" s="55" t="s">
        <v>298</v>
      </c>
      <c r="C160" s="55" t="s">
        <v>97</v>
      </c>
      <c r="D160" s="55" t="s">
        <v>32</v>
      </c>
      <c r="E160" s="72" t="s">
        <v>676</v>
      </c>
    </row>
    <row r="161" spans="1:5">
      <c r="A161" s="68" t="s">
        <v>598</v>
      </c>
      <c r="B161" s="55" t="s">
        <v>343</v>
      </c>
      <c r="C161" s="55" t="s">
        <v>304</v>
      </c>
      <c r="D161" s="55" t="s">
        <v>54</v>
      </c>
      <c r="E161" s="72" t="s">
        <v>677</v>
      </c>
    </row>
    <row r="162" spans="1:5">
      <c r="A162" s="68" t="s">
        <v>566</v>
      </c>
      <c r="B162" s="55" t="s">
        <v>661</v>
      </c>
      <c r="C162" s="55" t="s">
        <v>104</v>
      </c>
      <c r="D162" s="55" t="s">
        <v>22</v>
      </c>
      <c r="E162" s="72" t="s">
        <v>678</v>
      </c>
    </row>
    <row r="163" spans="1:5">
      <c r="A163" s="68" t="s">
        <v>530</v>
      </c>
      <c r="B163" s="55" t="s">
        <v>659</v>
      </c>
      <c r="C163" s="55" t="s">
        <v>111</v>
      </c>
      <c r="D163" s="55" t="s">
        <v>149</v>
      </c>
      <c r="E163" s="72" t="s">
        <v>679</v>
      </c>
    </row>
    <row r="164" spans="1:5">
      <c r="A164" s="68" t="s">
        <v>560</v>
      </c>
      <c r="B164" s="55" t="s">
        <v>298</v>
      </c>
      <c r="C164" s="55" t="s">
        <v>104</v>
      </c>
      <c r="D164" s="55" t="s">
        <v>24</v>
      </c>
      <c r="E164" s="72" t="s">
        <v>680</v>
      </c>
    </row>
    <row r="165" spans="1:5">
      <c r="A165" s="68" t="s">
        <v>494</v>
      </c>
      <c r="B165" s="55" t="s">
        <v>659</v>
      </c>
      <c r="C165" s="55" t="s">
        <v>293</v>
      </c>
      <c r="D165" s="55" t="s">
        <v>132</v>
      </c>
      <c r="E165" s="72" t="s">
        <v>681</v>
      </c>
    </row>
  </sheetData>
  <mergeCells count="24">
    <mergeCell ref="A51:L51"/>
    <mergeCell ref="A60:L60"/>
    <mergeCell ref="A66:L66"/>
    <mergeCell ref="A79:L79"/>
    <mergeCell ref="A15:L15"/>
    <mergeCell ref="A19:L19"/>
    <mergeCell ref="A22:L22"/>
    <mergeCell ref="A28:L28"/>
    <mergeCell ref="A32:L32"/>
    <mergeCell ref="A40:L40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10" style="55" bestFit="1" customWidth="1"/>
    <col min="7" max="9" width="5.5703125" style="55" bestFit="1" customWidth="1"/>
    <col min="10" max="10" width="4.85546875" style="55" bestFit="1" customWidth="1"/>
    <col min="11" max="11" width="4.5703125" style="55" bestFit="1" customWidth="1"/>
    <col min="12" max="13" width="5.5703125" style="55" bestFit="1" customWidth="1"/>
    <col min="14" max="14" width="4.85546875" style="55" bestFit="1" customWidth="1"/>
    <col min="15" max="16" width="5.5703125" style="55" bestFit="1" customWidth="1"/>
    <col min="17" max="17" width="2.140625" style="55" bestFit="1" customWidth="1"/>
    <col min="18" max="18" width="4.85546875" style="55" bestFit="1" customWidth="1"/>
    <col min="19" max="19" width="6.7109375" style="55" bestFit="1" customWidth="1"/>
    <col min="20" max="20" width="8.5703125" style="55" bestFit="1" customWidth="1"/>
    <col min="21" max="21" width="7.42578125" style="55" bestFit="1" customWidth="1"/>
  </cols>
  <sheetData>
    <row r="1" spans="1:21" s="1" customFormat="1" ht="15" customHeight="1">
      <c r="A1" s="27" t="s">
        <v>2359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6" t="s">
        <v>381</v>
      </c>
      <c r="B6" s="56" t="s">
        <v>382</v>
      </c>
      <c r="C6" s="56" t="s">
        <v>383</v>
      </c>
      <c r="D6" s="56" t="str">
        <f>"1,2904"</f>
        <v>1,2904</v>
      </c>
      <c r="E6" s="56" t="s">
        <v>269</v>
      </c>
      <c r="F6" s="56" t="s">
        <v>164</v>
      </c>
      <c r="G6" s="56" t="s">
        <v>43</v>
      </c>
      <c r="H6" s="56" t="s">
        <v>379</v>
      </c>
      <c r="I6" s="56" t="s">
        <v>67</v>
      </c>
      <c r="J6" s="57"/>
      <c r="K6" s="56" t="s">
        <v>121</v>
      </c>
      <c r="L6" s="56" t="s">
        <v>122</v>
      </c>
      <c r="M6" s="56" t="s">
        <v>136</v>
      </c>
      <c r="N6" s="57"/>
      <c r="O6" s="56" t="s">
        <v>20</v>
      </c>
      <c r="P6" s="57" t="s">
        <v>379</v>
      </c>
      <c r="Q6" s="57"/>
      <c r="R6" s="57"/>
      <c r="S6" s="56">
        <v>450</v>
      </c>
      <c r="T6" s="56" t="str">
        <f>"580,6830"</f>
        <v>580,6830</v>
      </c>
      <c r="U6" s="56"/>
    </row>
    <row r="8" spans="1:21" ht="15">
      <c r="E8" s="65" t="s">
        <v>84</v>
      </c>
    </row>
    <row r="9" spans="1:21" ht="15">
      <c r="E9" s="65" t="s">
        <v>85</v>
      </c>
    </row>
    <row r="10" spans="1:21" ht="15">
      <c r="E10" s="65" t="s">
        <v>86</v>
      </c>
    </row>
    <row r="11" spans="1:21">
      <c r="E11" s="55" t="s">
        <v>87</v>
      </c>
    </row>
    <row r="12" spans="1:21">
      <c r="E12" s="55" t="s">
        <v>88</v>
      </c>
    </row>
    <row r="13" spans="1:21">
      <c r="E13" s="55" t="s">
        <v>89</v>
      </c>
    </row>
    <row r="16" spans="1:21" ht="18">
      <c r="A16" s="66" t="s">
        <v>90</v>
      </c>
      <c r="B16" s="66"/>
    </row>
    <row r="17" spans="1:5" ht="15">
      <c r="A17" s="67" t="s">
        <v>91</v>
      </c>
      <c r="B17" s="67"/>
    </row>
    <row r="18" spans="1:5" ht="14.25">
      <c r="A18" s="69" t="s">
        <v>297</v>
      </c>
      <c r="B18" s="70"/>
    </row>
    <row r="19" spans="1:5" ht="15">
      <c r="A19" s="71" t="s">
        <v>0</v>
      </c>
      <c r="B19" s="71" t="s">
        <v>93</v>
      </c>
      <c r="C19" s="71" t="s">
        <v>94</v>
      </c>
      <c r="D19" s="71" t="s">
        <v>7</v>
      </c>
      <c r="E19" s="71" t="s">
        <v>95</v>
      </c>
    </row>
    <row r="20" spans="1:5">
      <c r="A20" s="68" t="s">
        <v>381</v>
      </c>
      <c r="B20" s="55" t="s">
        <v>432</v>
      </c>
      <c r="C20" s="55" t="s">
        <v>97</v>
      </c>
      <c r="D20" s="55" t="s">
        <v>453</v>
      </c>
      <c r="E20" s="72" t="s">
        <v>454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19.14062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1.42578125" style="55" bestFit="1" customWidth="1"/>
    <col min="7" max="9" width="5.5703125" style="55" bestFit="1" customWidth="1"/>
    <col min="10" max="10" width="4.85546875" style="55" bestFit="1" customWidth="1"/>
    <col min="11" max="13" width="5.5703125" style="55" bestFit="1" customWidth="1"/>
    <col min="14" max="14" width="4.85546875" style="55" bestFit="1" customWidth="1"/>
    <col min="15" max="17" width="5.5703125" style="55" bestFit="1" customWidth="1"/>
    <col min="18" max="18" width="4.85546875" style="55" bestFit="1" customWidth="1"/>
    <col min="19" max="19" width="6.7109375" style="55" bestFit="1" customWidth="1"/>
    <col min="20" max="20" width="8.5703125" style="55" bestFit="1" customWidth="1"/>
    <col min="21" max="21" width="7.42578125" style="55" bestFit="1" customWidth="1"/>
  </cols>
  <sheetData>
    <row r="1" spans="1:21" s="1" customFormat="1" ht="15" customHeight="1">
      <c r="A1" s="27" t="s">
        <v>2360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189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6" t="s">
        <v>438</v>
      </c>
      <c r="B6" s="56" t="s">
        <v>439</v>
      </c>
      <c r="C6" s="56" t="s">
        <v>440</v>
      </c>
      <c r="D6" s="56" t="str">
        <f>"0,7095"</f>
        <v>0,7095</v>
      </c>
      <c r="E6" s="56" t="s">
        <v>17</v>
      </c>
      <c r="F6" s="56" t="s">
        <v>441</v>
      </c>
      <c r="G6" s="56" t="s">
        <v>55</v>
      </c>
      <c r="H6" s="57" t="s">
        <v>278</v>
      </c>
      <c r="I6" s="57"/>
      <c r="J6" s="57"/>
      <c r="K6" s="56" t="s">
        <v>20</v>
      </c>
      <c r="L6" s="56" t="s">
        <v>21</v>
      </c>
      <c r="M6" s="57" t="s">
        <v>30</v>
      </c>
      <c r="N6" s="57"/>
      <c r="O6" s="57" t="s">
        <v>52</v>
      </c>
      <c r="P6" s="56" t="s">
        <v>52</v>
      </c>
      <c r="Q6" s="56" t="s">
        <v>36</v>
      </c>
      <c r="R6" s="57"/>
      <c r="S6" s="56">
        <v>690</v>
      </c>
      <c r="T6" s="56" t="str">
        <f>"489,5205"</f>
        <v>489,5205</v>
      </c>
      <c r="U6" s="56"/>
    </row>
    <row r="8" spans="1:21" ht="15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1">
      <c r="A9" s="56" t="s">
        <v>442</v>
      </c>
      <c r="B9" s="56" t="s">
        <v>443</v>
      </c>
      <c r="C9" s="56" t="s">
        <v>444</v>
      </c>
      <c r="D9" s="56" t="str">
        <f>"0,6161"</f>
        <v>0,6161</v>
      </c>
      <c r="E9" s="56" t="s">
        <v>17</v>
      </c>
      <c r="F9" s="56" t="s">
        <v>29</v>
      </c>
      <c r="G9" s="56" t="s">
        <v>207</v>
      </c>
      <c r="H9" s="56" t="s">
        <v>56</v>
      </c>
      <c r="I9" s="57" t="s">
        <v>73</v>
      </c>
      <c r="J9" s="57"/>
      <c r="K9" s="56" t="s">
        <v>173</v>
      </c>
      <c r="L9" s="56" t="s">
        <v>43</v>
      </c>
      <c r="M9" s="56" t="s">
        <v>21</v>
      </c>
      <c r="N9" s="57"/>
      <c r="O9" s="57" t="s">
        <v>35</v>
      </c>
      <c r="P9" s="56" t="s">
        <v>35</v>
      </c>
      <c r="Q9" s="56" t="s">
        <v>445</v>
      </c>
      <c r="R9" s="57"/>
      <c r="S9" s="56">
        <v>735</v>
      </c>
      <c r="T9" s="56" t="str">
        <f>"452,7968"</f>
        <v>452,7968</v>
      </c>
      <c r="U9" s="56"/>
    </row>
    <row r="11" spans="1:21" ht="15">
      <c r="A11" s="58" t="s">
        <v>47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1">
      <c r="A12" s="56" t="s">
        <v>446</v>
      </c>
      <c r="B12" s="56" t="s">
        <v>447</v>
      </c>
      <c r="C12" s="56" t="s">
        <v>391</v>
      </c>
      <c r="D12" s="56" t="str">
        <f>"0,5848"</f>
        <v>0,5848</v>
      </c>
      <c r="E12" s="56" t="s">
        <v>17</v>
      </c>
      <c r="F12" s="56" t="s">
        <v>72</v>
      </c>
      <c r="G12" s="57" t="s">
        <v>66</v>
      </c>
      <c r="H12" s="56" t="s">
        <v>236</v>
      </c>
      <c r="I12" s="57" t="s">
        <v>55</v>
      </c>
      <c r="J12" s="57"/>
      <c r="K12" s="57" t="s">
        <v>54</v>
      </c>
      <c r="L12" s="56" t="s">
        <v>54</v>
      </c>
      <c r="M12" s="56" t="s">
        <v>67</v>
      </c>
      <c r="N12" s="57"/>
      <c r="O12" s="56" t="s">
        <v>207</v>
      </c>
      <c r="P12" s="56" t="s">
        <v>55</v>
      </c>
      <c r="Q12" s="57" t="s">
        <v>278</v>
      </c>
      <c r="R12" s="57"/>
      <c r="S12" s="56">
        <v>710</v>
      </c>
      <c r="T12" s="56" t="str">
        <f>"415,2080"</f>
        <v>415,2080</v>
      </c>
      <c r="U12" s="56"/>
    </row>
    <row r="14" spans="1:21" ht="15">
      <c r="E14" s="65" t="s">
        <v>84</v>
      </c>
    </row>
    <row r="15" spans="1:21" ht="15">
      <c r="E15" s="65" t="s">
        <v>85</v>
      </c>
    </row>
    <row r="16" spans="1:21" ht="15">
      <c r="E16" s="65" t="s">
        <v>86</v>
      </c>
    </row>
    <row r="17" spans="1:5">
      <c r="E17" s="55" t="s">
        <v>87</v>
      </c>
    </row>
    <row r="18" spans="1:5">
      <c r="E18" s="55" t="s">
        <v>88</v>
      </c>
    </row>
    <row r="19" spans="1:5">
      <c r="E19" s="55" t="s">
        <v>89</v>
      </c>
    </row>
    <row r="22" spans="1:5" ht="18">
      <c r="A22" s="66" t="s">
        <v>90</v>
      </c>
      <c r="B22" s="66"/>
    </row>
    <row r="23" spans="1:5" ht="15">
      <c r="A23" s="67" t="s">
        <v>91</v>
      </c>
      <c r="B23" s="67"/>
    </row>
    <row r="24" spans="1:5" ht="14.25">
      <c r="A24" s="69" t="s">
        <v>100</v>
      </c>
      <c r="B24" s="70"/>
    </row>
    <row r="25" spans="1:5" ht="15">
      <c r="A25" s="71" t="s">
        <v>0</v>
      </c>
      <c r="B25" s="71" t="s">
        <v>93</v>
      </c>
      <c r="C25" s="71" t="s">
        <v>94</v>
      </c>
      <c r="D25" s="71" t="s">
        <v>7</v>
      </c>
      <c r="E25" s="71" t="s">
        <v>95</v>
      </c>
    </row>
    <row r="26" spans="1:5">
      <c r="A26" s="68" t="s">
        <v>438</v>
      </c>
      <c r="B26" s="55" t="s">
        <v>100</v>
      </c>
      <c r="C26" s="55" t="s">
        <v>310</v>
      </c>
      <c r="D26" s="55" t="s">
        <v>448</v>
      </c>
      <c r="E26" s="72" t="s">
        <v>449</v>
      </c>
    </row>
    <row r="27" spans="1:5">
      <c r="A27" s="68" t="s">
        <v>442</v>
      </c>
      <c r="B27" s="55" t="s">
        <v>100</v>
      </c>
      <c r="C27" s="55" t="s">
        <v>111</v>
      </c>
      <c r="D27" s="55" t="s">
        <v>450</v>
      </c>
      <c r="E27" s="72" t="s">
        <v>451</v>
      </c>
    </row>
    <row r="28" spans="1:5">
      <c r="A28" s="68" t="s">
        <v>446</v>
      </c>
      <c r="B28" s="55" t="s">
        <v>100</v>
      </c>
      <c r="C28" s="55" t="s">
        <v>104</v>
      </c>
      <c r="D28" s="55" t="s">
        <v>429</v>
      </c>
      <c r="E28" s="72" t="s">
        <v>452</v>
      </c>
    </row>
  </sheetData>
  <mergeCells count="16"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7"/>
  <sheetViews>
    <sheetView workbookViewId="0">
      <selection activeCell="C13" sqref="C13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6.140625" style="55" customWidth="1"/>
    <col min="7" max="9" width="5.5703125" style="55" bestFit="1" customWidth="1"/>
    <col min="10" max="10" width="4.85546875" style="55" bestFit="1" customWidth="1"/>
    <col min="11" max="17" width="5.5703125" style="55" bestFit="1" customWidth="1"/>
    <col min="18" max="18" width="4.85546875" style="55" bestFit="1" customWidth="1"/>
    <col min="19" max="19" width="6.7109375" style="55" bestFit="1" customWidth="1"/>
    <col min="20" max="20" width="8.5703125" style="55" bestFit="1" customWidth="1"/>
    <col min="21" max="21" width="17" style="55" bestFit="1" customWidth="1"/>
  </cols>
  <sheetData>
    <row r="1" spans="1:21" s="1" customFormat="1" ht="15" customHeight="1">
      <c r="A1" s="27" t="s">
        <v>2361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350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9" t="s">
        <v>351</v>
      </c>
      <c r="B6" s="59" t="s">
        <v>352</v>
      </c>
      <c r="C6" s="59" t="s">
        <v>353</v>
      </c>
      <c r="D6" s="59" t="str">
        <f>"1,1264"</f>
        <v>1,1264</v>
      </c>
      <c r="E6" s="59" t="s">
        <v>40</v>
      </c>
      <c r="F6" s="59" t="s">
        <v>354</v>
      </c>
      <c r="G6" s="59" t="s">
        <v>160</v>
      </c>
      <c r="H6" s="59" t="s">
        <v>270</v>
      </c>
      <c r="I6" s="60" t="s">
        <v>23</v>
      </c>
      <c r="J6" s="60"/>
      <c r="K6" s="59" t="s">
        <v>142</v>
      </c>
      <c r="L6" s="59" t="s">
        <v>165</v>
      </c>
      <c r="M6" s="60" t="s">
        <v>169</v>
      </c>
      <c r="N6" s="60"/>
      <c r="O6" s="59" t="s">
        <v>23</v>
      </c>
      <c r="P6" s="59" t="s">
        <v>173</v>
      </c>
      <c r="Q6" s="59" t="s">
        <v>355</v>
      </c>
      <c r="R6" s="60"/>
      <c r="S6" s="59">
        <v>325</v>
      </c>
      <c r="T6" s="59" t="str">
        <f>"366,0800"</f>
        <v>366,0800</v>
      </c>
      <c r="U6" s="59"/>
    </row>
    <row r="7" spans="1:21">
      <c r="A7" s="61" t="s">
        <v>356</v>
      </c>
      <c r="B7" s="61" t="s">
        <v>357</v>
      </c>
      <c r="C7" s="61" t="s">
        <v>358</v>
      </c>
      <c r="D7" s="61" t="str">
        <f>"1,1477"</f>
        <v>1,1477</v>
      </c>
      <c r="E7" s="61" t="s">
        <v>17</v>
      </c>
      <c r="F7" s="61" t="s">
        <v>153</v>
      </c>
      <c r="G7" s="61" t="s">
        <v>131</v>
      </c>
      <c r="H7" s="62" t="s">
        <v>155</v>
      </c>
      <c r="I7" s="61" t="s">
        <v>155</v>
      </c>
      <c r="J7" s="62"/>
      <c r="K7" s="61" t="s">
        <v>134</v>
      </c>
      <c r="L7" s="62" t="s">
        <v>148</v>
      </c>
      <c r="M7" s="61" t="s">
        <v>148</v>
      </c>
      <c r="N7" s="62"/>
      <c r="O7" s="61" t="s">
        <v>155</v>
      </c>
      <c r="P7" s="61" t="s">
        <v>359</v>
      </c>
      <c r="Q7" s="62" t="s">
        <v>135</v>
      </c>
      <c r="R7" s="62"/>
      <c r="S7" s="61">
        <v>232.5</v>
      </c>
      <c r="T7" s="61" t="str">
        <f>"266,8402"</f>
        <v>266,8402</v>
      </c>
      <c r="U7" s="61"/>
    </row>
    <row r="9" spans="1:21" ht="15">
      <c r="A9" s="58" t="s">
        <v>143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>
      <c r="A10" s="56" t="s">
        <v>360</v>
      </c>
      <c r="B10" s="56" t="s">
        <v>361</v>
      </c>
      <c r="C10" s="56" t="s">
        <v>362</v>
      </c>
      <c r="D10" s="56" t="str">
        <f>"0,9000"</f>
        <v>0,9000</v>
      </c>
      <c r="E10" s="56" t="s">
        <v>17</v>
      </c>
      <c r="F10" s="56" t="s">
        <v>72</v>
      </c>
      <c r="G10" s="56" t="s">
        <v>19</v>
      </c>
      <c r="H10" s="57" t="s">
        <v>265</v>
      </c>
      <c r="I10" s="57" t="s">
        <v>265</v>
      </c>
      <c r="J10" s="57"/>
      <c r="K10" s="56" t="s">
        <v>136</v>
      </c>
      <c r="L10" s="57" t="s">
        <v>187</v>
      </c>
      <c r="M10" s="57" t="s">
        <v>187</v>
      </c>
      <c r="N10" s="57"/>
      <c r="O10" s="56" t="s">
        <v>32</v>
      </c>
      <c r="P10" s="56" t="s">
        <v>33</v>
      </c>
      <c r="Q10" s="56" t="s">
        <v>34</v>
      </c>
      <c r="R10" s="57"/>
      <c r="S10" s="56">
        <v>405</v>
      </c>
      <c r="T10" s="56" t="str">
        <f>"364,4798"</f>
        <v>364,4798</v>
      </c>
      <c r="U10" s="56"/>
    </row>
    <row r="12" spans="1:21" ht="15">
      <c r="A12" s="58" t="s">
        <v>143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1">
      <c r="A13" s="56" t="s">
        <v>363</v>
      </c>
      <c r="B13" s="56" t="s">
        <v>364</v>
      </c>
      <c r="C13" s="56" t="s">
        <v>365</v>
      </c>
      <c r="D13" s="56" t="str">
        <f>"0,7874"</f>
        <v>0,7874</v>
      </c>
      <c r="E13" s="56" t="s">
        <v>366</v>
      </c>
      <c r="F13" s="56" t="s">
        <v>367</v>
      </c>
      <c r="G13" s="57" t="s">
        <v>132</v>
      </c>
      <c r="H13" s="56" t="s">
        <v>132</v>
      </c>
      <c r="I13" s="56" t="s">
        <v>135</v>
      </c>
      <c r="J13" s="57"/>
      <c r="K13" s="56" t="s">
        <v>141</v>
      </c>
      <c r="L13" s="57" t="s">
        <v>165</v>
      </c>
      <c r="M13" s="56" t="s">
        <v>169</v>
      </c>
      <c r="N13" s="57"/>
      <c r="O13" s="56" t="s">
        <v>173</v>
      </c>
      <c r="P13" s="56" t="s">
        <v>32</v>
      </c>
      <c r="Q13" s="57" t="s">
        <v>19</v>
      </c>
      <c r="R13" s="57"/>
      <c r="S13" s="56">
        <v>312.5</v>
      </c>
      <c r="T13" s="56" t="str">
        <f>"246,0625"</f>
        <v>246,0625</v>
      </c>
      <c r="U13" s="56"/>
    </row>
    <row r="15" spans="1:21" ht="15">
      <c r="A15" s="58" t="s">
        <v>189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1">
      <c r="A16" s="56" t="s">
        <v>368</v>
      </c>
      <c r="B16" s="56" t="s">
        <v>369</v>
      </c>
      <c r="C16" s="56" t="s">
        <v>192</v>
      </c>
      <c r="D16" s="56" t="str">
        <f>"0,6885"</f>
        <v>0,6885</v>
      </c>
      <c r="E16" s="56" t="s">
        <v>17</v>
      </c>
      <c r="F16" s="56" t="s">
        <v>29</v>
      </c>
      <c r="G16" s="57" t="s">
        <v>33</v>
      </c>
      <c r="H16" s="57" t="s">
        <v>20</v>
      </c>
      <c r="I16" s="56" t="s">
        <v>20</v>
      </c>
      <c r="J16" s="57"/>
      <c r="K16" s="56" t="s">
        <v>160</v>
      </c>
      <c r="L16" s="57" t="s">
        <v>126</v>
      </c>
      <c r="M16" s="56" t="s">
        <v>126</v>
      </c>
      <c r="N16" s="57"/>
      <c r="O16" s="56" t="s">
        <v>42</v>
      </c>
      <c r="P16" s="56" t="s">
        <v>67</v>
      </c>
      <c r="Q16" s="57" t="s">
        <v>254</v>
      </c>
      <c r="R16" s="57"/>
      <c r="S16" s="56">
        <v>470</v>
      </c>
      <c r="T16" s="56" t="str">
        <f>"323,6185"</f>
        <v>323,6185</v>
      </c>
      <c r="U16" s="56" t="s">
        <v>370</v>
      </c>
    </row>
    <row r="18" spans="1:21" ht="15">
      <c r="A18" s="58" t="s">
        <v>13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1">
      <c r="A19" s="59" t="s">
        <v>371</v>
      </c>
      <c r="B19" s="59" t="s">
        <v>372</v>
      </c>
      <c r="C19" s="59" t="s">
        <v>373</v>
      </c>
      <c r="D19" s="59" t="str">
        <f>"0,6503"</f>
        <v>0,6503</v>
      </c>
      <c r="E19" s="59" t="s">
        <v>17</v>
      </c>
      <c r="F19" s="59" t="s">
        <v>29</v>
      </c>
      <c r="G19" s="59" t="s">
        <v>30</v>
      </c>
      <c r="H19" s="59" t="s">
        <v>61</v>
      </c>
      <c r="I19" s="60"/>
      <c r="J19" s="60"/>
      <c r="K19" s="59" t="s">
        <v>42</v>
      </c>
      <c r="L19" s="59" t="s">
        <v>235</v>
      </c>
      <c r="M19" s="59" t="s">
        <v>54</v>
      </c>
      <c r="N19" s="60"/>
      <c r="O19" s="59" t="s">
        <v>207</v>
      </c>
      <c r="P19" s="60" t="s">
        <v>55</v>
      </c>
      <c r="Q19" s="59" t="s">
        <v>55</v>
      </c>
      <c r="R19" s="60"/>
      <c r="S19" s="59">
        <v>655</v>
      </c>
      <c r="T19" s="59" t="str">
        <f>"425,9138"</f>
        <v>425,9138</v>
      </c>
      <c r="U19" s="59" t="s">
        <v>374</v>
      </c>
    </row>
    <row r="20" spans="1:21">
      <c r="A20" s="63" t="s">
        <v>375</v>
      </c>
      <c r="B20" s="63" t="s">
        <v>376</v>
      </c>
      <c r="C20" s="63" t="s">
        <v>377</v>
      </c>
      <c r="D20" s="63" t="str">
        <f>"0,6513"</f>
        <v>0,6513</v>
      </c>
      <c r="E20" s="63" t="s">
        <v>269</v>
      </c>
      <c r="F20" s="63" t="s">
        <v>164</v>
      </c>
      <c r="G20" s="63" t="s">
        <v>378</v>
      </c>
      <c r="H20" s="64" t="s">
        <v>211</v>
      </c>
      <c r="I20" s="64" t="s">
        <v>211</v>
      </c>
      <c r="J20" s="64"/>
      <c r="K20" s="63" t="s">
        <v>178</v>
      </c>
      <c r="L20" s="63" t="s">
        <v>235</v>
      </c>
      <c r="M20" s="64" t="s">
        <v>379</v>
      </c>
      <c r="N20" s="64"/>
      <c r="O20" s="63" t="s">
        <v>61</v>
      </c>
      <c r="P20" s="63" t="s">
        <v>211</v>
      </c>
      <c r="Q20" s="64" t="s">
        <v>46</v>
      </c>
      <c r="R20" s="64"/>
      <c r="S20" s="63">
        <v>610</v>
      </c>
      <c r="T20" s="63" t="str">
        <f>"397,2930"</f>
        <v>397,2930</v>
      </c>
      <c r="U20" s="63"/>
    </row>
    <row r="21" spans="1:21">
      <c r="A21" s="63" t="s">
        <v>375</v>
      </c>
      <c r="B21" s="63" t="s">
        <v>380</v>
      </c>
      <c r="C21" s="63" t="s">
        <v>377</v>
      </c>
      <c r="D21" s="63" t="str">
        <f>"0,6956"</f>
        <v>0,6956</v>
      </c>
      <c r="E21" s="63" t="s">
        <v>269</v>
      </c>
      <c r="F21" s="63" t="s">
        <v>164</v>
      </c>
      <c r="G21" s="63" t="s">
        <v>378</v>
      </c>
      <c r="H21" s="64" t="s">
        <v>211</v>
      </c>
      <c r="I21" s="64" t="s">
        <v>211</v>
      </c>
      <c r="J21" s="64"/>
      <c r="K21" s="63" t="s">
        <v>178</v>
      </c>
      <c r="L21" s="63" t="s">
        <v>235</v>
      </c>
      <c r="M21" s="64" t="s">
        <v>379</v>
      </c>
      <c r="N21" s="64"/>
      <c r="O21" s="63" t="s">
        <v>61</v>
      </c>
      <c r="P21" s="63" t="s">
        <v>211</v>
      </c>
      <c r="Q21" s="64" t="s">
        <v>46</v>
      </c>
      <c r="R21" s="64"/>
      <c r="S21" s="63">
        <v>610</v>
      </c>
      <c r="T21" s="63" t="str">
        <f>"424,3089"</f>
        <v>424,3089</v>
      </c>
      <c r="U21" s="63"/>
    </row>
    <row r="22" spans="1:21">
      <c r="A22" s="61" t="s">
        <v>381</v>
      </c>
      <c r="B22" s="61" t="s">
        <v>382</v>
      </c>
      <c r="C22" s="61" t="s">
        <v>383</v>
      </c>
      <c r="D22" s="61" t="str">
        <f>"1,2904"</f>
        <v>1,2904</v>
      </c>
      <c r="E22" s="61" t="s">
        <v>269</v>
      </c>
      <c r="F22" s="61" t="s">
        <v>164</v>
      </c>
      <c r="G22" s="62" t="s">
        <v>270</v>
      </c>
      <c r="H22" s="62" t="s">
        <v>270</v>
      </c>
      <c r="I22" s="61" t="s">
        <v>173</v>
      </c>
      <c r="J22" s="62"/>
      <c r="K22" s="62" t="s">
        <v>155</v>
      </c>
      <c r="L22" s="61" t="s">
        <v>155</v>
      </c>
      <c r="M22" s="61" t="s">
        <v>132</v>
      </c>
      <c r="N22" s="62"/>
      <c r="O22" s="61" t="s">
        <v>178</v>
      </c>
      <c r="P22" s="61" t="s">
        <v>43</v>
      </c>
      <c r="Q22" s="61" t="s">
        <v>235</v>
      </c>
      <c r="R22" s="62"/>
      <c r="S22" s="61">
        <v>392.5</v>
      </c>
      <c r="T22" s="61" t="str">
        <f>"506,4846"</f>
        <v>506,4846</v>
      </c>
      <c r="U22" s="61"/>
    </row>
    <row r="24" spans="1:21" ht="15">
      <c r="A24" s="58" t="s">
        <v>25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1">
      <c r="A25" s="59" t="s">
        <v>26</v>
      </c>
      <c r="B25" s="59" t="s">
        <v>27</v>
      </c>
      <c r="C25" s="59" t="s">
        <v>28</v>
      </c>
      <c r="D25" s="59" t="str">
        <f>"0,6145"</f>
        <v>0,6145</v>
      </c>
      <c r="E25" s="59" t="s">
        <v>17</v>
      </c>
      <c r="F25" s="59" t="s">
        <v>29</v>
      </c>
      <c r="G25" s="60" t="s">
        <v>21</v>
      </c>
      <c r="H25" s="60"/>
      <c r="I25" s="60"/>
      <c r="J25" s="60"/>
      <c r="K25" s="60" t="s">
        <v>32</v>
      </c>
      <c r="L25" s="60"/>
      <c r="M25" s="60"/>
      <c r="N25" s="60"/>
      <c r="O25" s="60" t="s">
        <v>31</v>
      </c>
      <c r="P25" s="60"/>
      <c r="Q25" s="60"/>
      <c r="R25" s="60"/>
      <c r="S25" s="59">
        <v>0</v>
      </c>
      <c r="T25" s="59" t="str">
        <f>"0,0000"</f>
        <v>0,0000</v>
      </c>
      <c r="U25" s="59"/>
    </row>
    <row r="26" spans="1:21">
      <c r="A26" s="61" t="s">
        <v>384</v>
      </c>
      <c r="B26" s="61" t="s">
        <v>385</v>
      </c>
      <c r="C26" s="61" t="s">
        <v>386</v>
      </c>
      <c r="D26" s="61" t="str">
        <f>"0,7258"</f>
        <v>0,7258</v>
      </c>
      <c r="E26" s="61" t="s">
        <v>17</v>
      </c>
      <c r="F26" s="61" t="s">
        <v>387</v>
      </c>
      <c r="G26" s="61" t="s">
        <v>31</v>
      </c>
      <c r="H26" s="61" t="s">
        <v>52</v>
      </c>
      <c r="I26" s="62" t="s">
        <v>388</v>
      </c>
      <c r="J26" s="62"/>
      <c r="K26" s="61" t="s">
        <v>135</v>
      </c>
      <c r="L26" s="61" t="s">
        <v>22</v>
      </c>
      <c r="M26" s="61" t="s">
        <v>149</v>
      </c>
      <c r="N26" s="62"/>
      <c r="O26" s="61" t="s">
        <v>36</v>
      </c>
      <c r="P26" s="62" t="s">
        <v>240</v>
      </c>
      <c r="Q26" s="62"/>
      <c r="R26" s="62"/>
      <c r="S26" s="61">
        <v>590</v>
      </c>
      <c r="T26" s="61" t="str">
        <f>"428,2173"</f>
        <v>428,2173</v>
      </c>
      <c r="U26" s="61"/>
    </row>
    <row r="28" spans="1:21" ht="15">
      <c r="A28" s="58" t="s">
        <v>47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1">
      <c r="A29" s="59" t="s">
        <v>389</v>
      </c>
      <c r="B29" s="59" t="s">
        <v>390</v>
      </c>
      <c r="C29" s="59" t="s">
        <v>391</v>
      </c>
      <c r="D29" s="59" t="str">
        <f>"0,5848"</f>
        <v>0,5848</v>
      </c>
      <c r="E29" s="59" t="s">
        <v>17</v>
      </c>
      <c r="F29" s="59" t="s">
        <v>392</v>
      </c>
      <c r="G29" s="59" t="s">
        <v>55</v>
      </c>
      <c r="H29" s="59" t="s">
        <v>56</v>
      </c>
      <c r="I29" s="60" t="s">
        <v>393</v>
      </c>
      <c r="J29" s="60"/>
      <c r="K29" s="59" t="s">
        <v>83</v>
      </c>
      <c r="L29" s="59" t="s">
        <v>30</v>
      </c>
      <c r="M29" s="59" t="s">
        <v>61</v>
      </c>
      <c r="N29" s="60" t="s">
        <v>394</v>
      </c>
      <c r="O29" s="60" t="s">
        <v>73</v>
      </c>
      <c r="P29" s="59" t="s">
        <v>73</v>
      </c>
      <c r="Q29" s="59" t="s">
        <v>395</v>
      </c>
      <c r="R29" s="60"/>
      <c r="S29" s="59">
        <v>805</v>
      </c>
      <c r="T29" s="59" t="str">
        <f>"470,7640"</f>
        <v>470,7640</v>
      </c>
      <c r="U29" s="59" t="s">
        <v>396</v>
      </c>
    </row>
    <row r="30" spans="1:21">
      <c r="A30" s="63" t="s">
        <v>397</v>
      </c>
      <c r="B30" s="63" t="s">
        <v>398</v>
      </c>
      <c r="C30" s="63" t="s">
        <v>399</v>
      </c>
      <c r="D30" s="63" t="str">
        <f>"0,5949"</f>
        <v>0,5949</v>
      </c>
      <c r="E30" s="63" t="s">
        <v>17</v>
      </c>
      <c r="F30" s="63" t="s">
        <v>29</v>
      </c>
      <c r="G30" s="63" t="s">
        <v>20</v>
      </c>
      <c r="H30" s="63" t="s">
        <v>43</v>
      </c>
      <c r="I30" s="64" t="s">
        <v>21</v>
      </c>
      <c r="J30" s="64"/>
      <c r="K30" s="63" t="s">
        <v>149</v>
      </c>
      <c r="L30" s="63" t="s">
        <v>400</v>
      </c>
      <c r="M30" s="64" t="s">
        <v>32</v>
      </c>
      <c r="N30" s="64"/>
      <c r="O30" s="63" t="s">
        <v>83</v>
      </c>
      <c r="P30" s="63" t="s">
        <v>61</v>
      </c>
      <c r="Q30" s="64" t="s">
        <v>295</v>
      </c>
      <c r="R30" s="64"/>
      <c r="S30" s="63">
        <v>512.5</v>
      </c>
      <c r="T30" s="63" t="str">
        <f>"304,8863"</f>
        <v>304,8863</v>
      </c>
      <c r="U30" s="63"/>
    </row>
    <row r="31" spans="1:21">
      <c r="A31" s="63" t="s">
        <v>389</v>
      </c>
      <c r="B31" s="63" t="s">
        <v>401</v>
      </c>
      <c r="C31" s="63" t="s">
        <v>391</v>
      </c>
      <c r="D31" s="63" t="str">
        <f>"0,5848"</f>
        <v>0,5848</v>
      </c>
      <c r="E31" s="63" t="s">
        <v>17</v>
      </c>
      <c r="F31" s="63" t="s">
        <v>392</v>
      </c>
      <c r="G31" s="63" t="s">
        <v>55</v>
      </c>
      <c r="H31" s="63" t="s">
        <v>56</v>
      </c>
      <c r="I31" s="64" t="s">
        <v>393</v>
      </c>
      <c r="J31" s="64"/>
      <c r="K31" s="63" t="s">
        <v>83</v>
      </c>
      <c r="L31" s="63" t="s">
        <v>30</v>
      </c>
      <c r="M31" s="63" t="s">
        <v>61</v>
      </c>
      <c r="N31" s="64" t="s">
        <v>394</v>
      </c>
      <c r="O31" s="64" t="s">
        <v>73</v>
      </c>
      <c r="P31" s="63" t="s">
        <v>73</v>
      </c>
      <c r="Q31" s="63" t="s">
        <v>395</v>
      </c>
      <c r="R31" s="64"/>
      <c r="S31" s="63">
        <v>805</v>
      </c>
      <c r="T31" s="63" t="str">
        <f>"470,7640"</f>
        <v>470,7640</v>
      </c>
      <c r="U31" s="63" t="s">
        <v>396</v>
      </c>
    </row>
    <row r="32" spans="1:21">
      <c r="A32" s="61" t="s">
        <v>402</v>
      </c>
      <c r="B32" s="61" t="s">
        <v>403</v>
      </c>
      <c r="C32" s="61" t="s">
        <v>404</v>
      </c>
      <c r="D32" s="61" t="str">
        <f>"0,5864"</f>
        <v>0,5864</v>
      </c>
      <c r="E32" s="61" t="s">
        <v>17</v>
      </c>
      <c r="F32" s="61" t="s">
        <v>405</v>
      </c>
      <c r="G32" s="61" t="s">
        <v>56</v>
      </c>
      <c r="H32" s="61" t="s">
        <v>278</v>
      </c>
      <c r="I32" s="62" t="s">
        <v>73</v>
      </c>
      <c r="J32" s="62"/>
      <c r="K32" s="62" t="s">
        <v>21</v>
      </c>
      <c r="L32" s="61" t="s">
        <v>227</v>
      </c>
      <c r="M32" s="61" t="s">
        <v>254</v>
      </c>
      <c r="N32" s="62"/>
      <c r="O32" s="62" t="s">
        <v>406</v>
      </c>
      <c r="P32" s="61" t="s">
        <v>406</v>
      </c>
      <c r="Q32" s="62" t="s">
        <v>407</v>
      </c>
      <c r="R32" s="62"/>
      <c r="S32" s="61">
        <v>785</v>
      </c>
      <c r="T32" s="61" t="str">
        <f>"460,2848"</f>
        <v>460,2848</v>
      </c>
      <c r="U32" s="61"/>
    </row>
    <row r="34" spans="1:21" ht="15">
      <c r="A34" s="58" t="s">
        <v>68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1">
      <c r="A35" s="56" t="s">
        <v>408</v>
      </c>
      <c r="B35" s="56" t="s">
        <v>409</v>
      </c>
      <c r="C35" s="56" t="s">
        <v>410</v>
      </c>
      <c r="D35" s="56" t="str">
        <f>"0,5684"</f>
        <v>0,5684</v>
      </c>
      <c r="E35" s="56" t="s">
        <v>17</v>
      </c>
      <c r="F35" s="56" t="s">
        <v>18</v>
      </c>
      <c r="G35" s="56" t="s">
        <v>31</v>
      </c>
      <c r="H35" s="56" t="s">
        <v>35</v>
      </c>
      <c r="I35" s="56" t="s">
        <v>53</v>
      </c>
      <c r="J35" s="57"/>
      <c r="K35" s="56" t="s">
        <v>83</v>
      </c>
      <c r="L35" s="56" t="s">
        <v>30</v>
      </c>
      <c r="M35" s="56" t="s">
        <v>186</v>
      </c>
      <c r="N35" s="57"/>
      <c r="O35" s="56" t="s">
        <v>53</v>
      </c>
      <c r="P35" s="57" t="s">
        <v>207</v>
      </c>
      <c r="Q35" s="56" t="s">
        <v>207</v>
      </c>
      <c r="R35" s="57"/>
      <c r="S35" s="56">
        <v>710</v>
      </c>
      <c r="T35" s="56" t="str">
        <f>"403,5995"</f>
        <v>403,5995</v>
      </c>
      <c r="U35" s="56"/>
    </row>
    <row r="37" spans="1:21" ht="15">
      <c r="E37" s="65" t="s">
        <v>84</v>
      </c>
    </row>
    <row r="38" spans="1:21" ht="15">
      <c r="E38" s="65" t="s">
        <v>85</v>
      </c>
    </row>
    <row r="39" spans="1:21" ht="15">
      <c r="E39" s="65" t="s">
        <v>86</v>
      </c>
    </row>
    <row r="40" spans="1:21">
      <c r="E40" s="55" t="s">
        <v>87</v>
      </c>
    </row>
    <row r="41" spans="1:21">
      <c r="E41" s="55" t="s">
        <v>88</v>
      </c>
    </row>
    <row r="42" spans="1:21">
      <c r="E42" s="55" t="s">
        <v>89</v>
      </c>
    </row>
    <row r="45" spans="1:21" ht="18">
      <c r="A45" s="66" t="s">
        <v>90</v>
      </c>
      <c r="B45" s="66"/>
    </row>
    <row r="46" spans="1:21" ht="15">
      <c r="A46" s="67" t="s">
        <v>284</v>
      </c>
      <c r="B46" s="67"/>
    </row>
    <row r="47" spans="1:21" ht="14.25">
      <c r="A47" s="69" t="s">
        <v>100</v>
      </c>
      <c r="B47" s="70"/>
    </row>
    <row r="48" spans="1:21" ht="15">
      <c r="A48" s="71" t="s">
        <v>0</v>
      </c>
      <c r="B48" s="71" t="s">
        <v>93</v>
      </c>
      <c r="C48" s="71" t="s">
        <v>94</v>
      </c>
      <c r="D48" s="71" t="s">
        <v>7</v>
      </c>
      <c r="E48" s="71" t="s">
        <v>95</v>
      </c>
    </row>
    <row r="49" spans="1:5">
      <c r="A49" s="68" t="s">
        <v>351</v>
      </c>
      <c r="B49" s="55" t="s">
        <v>100</v>
      </c>
      <c r="C49" s="55" t="s">
        <v>411</v>
      </c>
      <c r="D49" s="55" t="s">
        <v>407</v>
      </c>
      <c r="E49" s="72" t="s">
        <v>412</v>
      </c>
    </row>
    <row r="50" spans="1:5">
      <c r="A50" s="68" t="s">
        <v>360</v>
      </c>
      <c r="B50" s="55" t="s">
        <v>100</v>
      </c>
      <c r="C50" s="55" t="s">
        <v>293</v>
      </c>
      <c r="D50" s="55" t="s">
        <v>413</v>
      </c>
      <c r="E50" s="72" t="s">
        <v>414</v>
      </c>
    </row>
    <row r="51" spans="1:5">
      <c r="A51" s="68" t="s">
        <v>356</v>
      </c>
      <c r="B51" s="55" t="s">
        <v>100</v>
      </c>
      <c r="C51" s="55" t="s">
        <v>411</v>
      </c>
      <c r="D51" s="55" t="s">
        <v>180</v>
      </c>
      <c r="E51" s="72" t="s">
        <v>415</v>
      </c>
    </row>
    <row r="54" spans="1:5" ht="15">
      <c r="A54" s="67" t="s">
        <v>91</v>
      </c>
      <c r="B54" s="67"/>
    </row>
    <row r="55" spans="1:5" ht="14.25">
      <c r="A55" s="69" t="s">
        <v>285</v>
      </c>
      <c r="B55" s="70"/>
    </row>
    <row r="56" spans="1:5" ht="15">
      <c r="A56" s="71" t="s">
        <v>0</v>
      </c>
      <c r="B56" s="71" t="s">
        <v>93</v>
      </c>
      <c r="C56" s="71" t="s">
        <v>94</v>
      </c>
      <c r="D56" s="71" t="s">
        <v>7</v>
      </c>
      <c r="E56" s="71" t="s">
        <v>95</v>
      </c>
    </row>
    <row r="57" spans="1:5">
      <c r="A57" s="68" t="s">
        <v>368</v>
      </c>
      <c r="B57" s="55" t="s">
        <v>416</v>
      </c>
      <c r="C57" s="55" t="s">
        <v>310</v>
      </c>
      <c r="D57" s="55" t="s">
        <v>417</v>
      </c>
      <c r="E57" s="72" t="s">
        <v>418</v>
      </c>
    </row>
    <row r="58" spans="1:5">
      <c r="A58" s="68" t="s">
        <v>363</v>
      </c>
      <c r="B58" s="55" t="s">
        <v>416</v>
      </c>
      <c r="C58" s="55" t="s">
        <v>293</v>
      </c>
      <c r="D58" s="55" t="s">
        <v>419</v>
      </c>
      <c r="E58" s="72" t="s">
        <v>420</v>
      </c>
    </row>
    <row r="60" spans="1:5" ht="14.25">
      <c r="A60" s="69" t="s">
        <v>92</v>
      </c>
      <c r="B60" s="70"/>
    </row>
    <row r="61" spans="1:5" ht="15">
      <c r="A61" s="71" t="s">
        <v>0</v>
      </c>
      <c r="B61" s="71" t="s">
        <v>93</v>
      </c>
      <c r="C61" s="71" t="s">
        <v>94</v>
      </c>
      <c r="D61" s="71" t="s">
        <v>7</v>
      </c>
      <c r="E61" s="71" t="s">
        <v>95</v>
      </c>
    </row>
    <row r="62" spans="1:5">
      <c r="A62" s="68" t="s">
        <v>389</v>
      </c>
      <c r="B62" s="55" t="s">
        <v>96</v>
      </c>
      <c r="C62" s="55" t="s">
        <v>104</v>
      </c>
      <c r="D62" s="55" t="s">
        <v>421</v>
      </c>
      <c r="E62" s="72" t="s">
        <v>422</v>
      </c>
    </row>
    <row r="63" spans="1:5">
      <c r="A63" s="68" t="s">
        <v>397</v>
      </c>
      <c r="B63" s="55" t="s">
        <v>96</v>
      </c>
      <c r="C63" s="55" t="s">
        <v>104</v>
      </c>
      <c r="D63" s="55" t="s">
        <v>423</v>
      </c>
      <c r="E63" s="72" t="s">
        <v>424</v>
      </c>
    </row>
    <row r="65" spans="1:5" ht="14.25">
      <c r="A65" s="69" t="s">
        <v>100</v>
      </c>
      <c r="B65" s="70"/>
    </row>
    <row r="66" spans="1:5" ht="15">
      <c r="A66" s="71" t="s">
        <v>0</v>
      </c>
      <c r="B66" s="71" t="s">
        <v>93</v>
      </c>
      <c r="C66" s="71" t="s">
        <v>94</v>
      </c>
      <c r="D66" s="71" t="s">
        <v>7</v>
      </c>
      <c r="E66" s="71" t="s">
        <v>95</v>
      </c>
    </row>
    <row r="67" spans="1:5">
      <c r="A67" s="68" t="s">
        <v>389</v>
      </c>
      <c r="B67" s="55" t="s">
        <v>100</v>
      </c>
      <c r="C67" s="55" t="s">
        <v>104</v>
      </c>
      <c r="D67" s="55" t="s">
        <v>421</v>
      </c>
      <c r="E67" s="72" t="s">
        <v>422</v>
      </c>
    </row>
    <row r="68" spans="1:5">
      <c r="A68" s="68" t="s">
        <v>402</v>
      </c>
      <c r="B68" s="55" t="s">
        <v>100</v>
      </c>
      <c r="C68" s="55" t="s">
        <v>104</v>
      </c>
      <c r="D68" s="55" t="s">
        <v>425</v>
      </c>
      <c r="E68" s="72" t="s">
        <v>426</v>
      </c>
    </row>
    <row r="69" spans="1:5">
      <c r="A69" s="68" t="s">
        <v>371</v>
      </c>
      <c r="B69" s="55" t="s">
        <v>100</v>
      </c>
      <c r="C69" s="55" t="s">
        <v>97</v>
      </c>
      <c r="D69" s="55" t="s">
        <v>427</v>
      </c>
      <c r="E69" s="72" t="s">
        <v>428</v>
      </c>
    </row>
    <row r="70" spans="1:5">
      <c r="A70" s="68" t="s">
        <v>408</v>
      </c>
      <c r="B70" s="55" t="s">
        <v>100</v>
      </c>
      <c r="C70" s="55" t="s">
        <v>101</v>
      </c>
      <c r="D70" s="55" t="s">
        <v>429</v>
      </c>
      <c r="E70" s="72" t="s">
        <v>430</v>
      </c>
    </row>
    <row r="71" spans="1:5">
      <c r="A71" s="68" t="s">
        <v>375</v>
      </c>
      <c r="B71" s="55" t="s">
        <v>100</v>
      </c>
      <c r="C71" s="55" t="s">
        <v>97</v>
      </c>
      <c r="D71" s="55" t="s">
        <v>109</v>
      </c>
      <c r="E71" s="72" t="s">
        <v>431</v>
      </c>
    </row>
    <row r="73" spans="1:5" ht="14.25">
      <c r="A73" s="69" t="s">
        <v>297</v>
      </c>
      <c r="B73" s="70"/>
    </row>
    <row r="74" spans="1:5" ht="15">
      <c r="A74" s="71" t="s">
        <v>0</v>
      </c>
      <c r="B74" s="71" t="s">
        <v>93</v>
      </c>
      <c r="C74" s="71" t="s">
        <v>94</v>
      </c>
      <c r="D74" s="71" t="s">
        <v>7</v>
      </c>
      <c r="E74" s="71" t="s">
        <v>95</v>
      </c>
    </row>
    <row r="75" spans="1:5">
      <c r="A75" s="68" t="s">
        <v>381</v>
      </c>
      <c r="B75" s="55" t="s">
        <v>432</v>
      </c>
      <c r="C75" s="55" t="s">
        <v>97</v>
      </c>
      <c r="D75" s="55" t="s">
        <v>433</v>
      </c>
      <c r="E75" s="72" t="s">
        <v>434</v>
      </c>
    </row>
    <row r="76" spans="1:5">
      <c r="A76" s="68" t="s">
        <v>384</v>
      </c>
      <c r="B76" s="55" t="s">
        <v>435</v>
      </c>
      <c r="C76" s="55" t="s">
        <v>111</v>
      </c>
      <c r="D76" s="55" t="s">
        <v>308</v>
      </c>
      <c r="E76" s="72" t="s">
        <v>436</v>
      </c>
    </row>
    <row r="77" spans="1:5">
      <c r="A77" s="68" t="s">
        <v>375</v>
      </c>
      <c r="B77" s="55" t="s">
        <v>298</v>
      </c>
      <c r="C77" s="55" t="s">
        <v>97</v>
      </c>
      <c r="D77" s="55" t="s">
        <v>109</v>
      </c>
      <c r="E77" s="72" t="s">
        <v>437</v>
      </c>
    </row>
  </sheetData>
  <mergeCells count="21">
    <mergeCell ref="A15:T15"/>
    <mergeCell ref="A18:T18"/>
    <mergeCell ref="A24:T24"/>
    <mergeCell ref="A28:T28"/>
    <mergeCell ref="A34:T34"/>
    <mergeCell ref="S3:S4"/>
    <mergeCell ref="T3:T4"/>
    <mergeCell ref="U3:U4"/>
    <mergeCell ref="A5:T5"/>
    <mergeCell ref="A9:T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26"/>
  <sheetViews>
    <sheetView workbookViewId="0">
      <selection activeCell="A8" sqref="A8:T8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2" style="55" bestFit="1" customWidth="1"/>
    <col min="7" max="13" width="5.5703125" style="55" bestFit="1" customWidth="1"/>
    <col min="14" max="14" width="4.85546875" style="55" bestFit="1" customWidth="1"/>
    <col min="15" max="18" width="5.5703125" style="55" bestFit="1" customWidth="1"/>
    <col min="19" max="19" width="6.7109375" style="55" bestFit="1" customWidth="1"/>
    <col min="20" max="20" width="8.5703125" style="55" bestFit="1" customWidth="1"/>
    <col min="21" max="21" width="30" style="55" bestFit="1" customWidth="1"/>
  </cols>
  <sheetData>
    <row r="1" spans="1:21" s="1" customFormat="1" ht="15" customHeight="1">
      <c r="A1" s="27" t="s">
        <v>2362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ht="15">
      <c r="A5" s="35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>
      <c r="A6" s="56" t="s">
        <v>117</v>
      </c>
      <c r="B6" s="56" t="s">
        <v>118</v>
      </c>
      <c r="C6" s="56" t="s">
        <v>119</v>
      </c>
      <c r="D6" s="56" t="str">
        <f>"1,0530"</f>
        <v>1,0530</v>
      </c>
      <c r="E6" s="56" t="s">
        <v>120</v>
      </c>
      <c r="F6" s="56" t="s">
        <v>72</v>
      </c>
      <c r="G6" s="56" t="s">
        <v>121</v>
      </c>
      <c r="H6" s="56" t="s">
        <v>122</v>
      </c>
      <c r="I6" s="57" t="s">
        <v>123</v>
      </c>
      <c r="J6" s="57"/>
      <c r="K6" s="56" t="s">
        <v>124</v>
      </c>
      <c r="L6" s="57" t="s">
        <v>125</v>
      </c>
      <c r="M6" s="57" t="s">
        <v>125</v>
      </c>
      <c r="N6" s="57"/>
      <c r="O6" s="56" t="s">
        <v>126</v>
      </c>
      <c r="P6" s="56" t="s">
        <v>24</v>
      </c>
      <c r="Q6" s="57" t="s">
        <v>32</v>
      </c>
      <c r="R6" s="57"/>
      <c r="S6" s="56">
        <v>285</v>
      </c>
      <c r="T6" s="56" t="str">
        <f>"300,1050"</f>
        <v>300,1050</v>
      </c>
      <c r="U6" s="56"/>
    </row>
    <row r="8" spans="1:21" ht="15">
      <c r="A8" s="58" t="s">
        <v>127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1">
      <c r="A9" s="59" t="s">
        <v>128</v>
      </c>
      <c r="B9" s="59" t="s">
        <v>129</v>
      </c>
      <c r="C9" s="59" t="s">
        <v>130</v>
      </c>
      <c r="D9" s="59" t="str">
        <f>"1,0135"</f>
        <v>1,0135</v>
      </c>
      <c r="E9" s="59" t="s">
        <v>120</v>
      </c>
      <c r="F9" s="59" t="s">
        <v>29</v>
      </c>
      <c r="G9" s="59" t="s">
        <v>131</v>
      </c>
      <c r="H9" s="60" t="s">
        <v>132</v>
      </c>
      <c r="I9" s="60" t="s">
        <v>121</v>
      </c>
      <c r="J9" s="60"/>
      <c r="K9" s="59" t="s">
        <v>133</v>
      </c>
      <c r="L9" s="59" t="s">
        <v>124</v>
      </c>
      <c r="M9" s="59" t="s">
        <v>134</v>
      </c>
      <c r="N9" s="60" t="s">
        <v>125</v>
      </c>
      <c r="O9" s="59" t="s">
        <v>135</v>
      </c>
      <c r="P9" s="59" t="s">
        <v>136</v>
      </c>
      <c r="Q9" s="60" t="s">
        <v>22</v>
      </c>
      <c r="R9" s="60"/>
      <c r="S9" s="59">
        <v>235</v>
      </c>
      <c r="T9" s="59" t="str">
        <f>"238,1725"</f>
        <v>238,1725</v>
      </c>
      <c r="U9" s="59" t="s">
        <v>137</v>
      </c>
    </row>
    <row r="10" spans="1:21">
      <c r="A10" s="61" t="s">
        <v>138</v>
      </c>
      <c r="B10" s="61" t="s">
        <v>139</v>
      </c>
      <c r="C10" s="61" t="s">
        <v>140</v>
      </c>
      <c r="D10" s="61" t="str">
        <f>"0,9903"</f>
        <v>0,9903</v>
      </c>
      <c r="E10" s="61" t="s">
        <v>120</v>
      </c>
      <c r="F10" s="61" t="s">
        <v>72</v>
      </c>
      <c r="G10" s="62" t="s">
        <v>121</v>
      </c>
      <c r="H10" s="62" t="s">
        <v>121</v>
      </c>
      <c r="I10" s="61" t="s">
        <v>121</v>
      </c>
      <c r="J10" s="62"/>
      <c r="K10" s="61" t="s">
        <v>141</v>
      </c>
      <c r="L10" s="62" t="s">
        <v>142</v>
      </c>
      <c r="M10" s="62" t="s">
        <v>142</v>
      </c>
      <c r="N10" s="62"/>
      <c r="O10" s="62" t="s">
        <v>24</v>
      </c>
      <c r="P10" s="61" t="s">
        <v>24</v>
      </c>
      <c r="Q10" s="61" t="s">
        <v>32</v>
      </c>
      <c r="R10" s="62"/>
      <c r="S10" s="61">
        <v>295</v>
      </c>
      <c r="T10" s="61" t="str">
        <f>"292,1385"</f>
        <v>292,1385</v>
      </c>
      <c r="U10" s="61"/>
    </row>
    <row r="12" spans="1:21" ht="15">
      <c r="A12" s="58" t="s">
        <v>143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1">
      <c r="A13" s="59" t="s">
        <v>144</v>
      </c>
      <c r="B13" s="59" t="s">
        <v>145</v>
      </c>
      <c r="C13" s="59" t="s">
        <v>146</v>
      </c>
      <c r="D13" s="59" t="str">
        <f>"0,9189"</f>
        <v>0,9189</v>
      </c>
      <c r="E13" s="59" t="s">
        <v>120</v>
      </c>
      <c r="F13" s="59" t="s">
        <v>147</v>
      </c>
      <c r="G13" s="59" t="s">
        <v>121</v>
      </c>
      <c r="H13" s="60" t="s">
        <v>135</v>
      </c>
      <c r="I13" s="59" t="s">
        <v>135</v>
      </c>
      <c r="J13" s="60"/>
      <c r="K13" s="59" t="s">
        <v>148</v>
      </c>
      <c r="L13" s="59" t="s">
        <v>141</v>
      </c>
      <c r="M13" s="60" t="s">
        <v>142</v>
      </c>
      <c r="N13" s="60"/>
      <c r="O13" s="59" t="s">
        <v>22</v>
      </c>
      <c r="P13" s="59" t="s">
        <v>149</v>
      </c>
      <c r="Q13" s="60" t="s">
        <v>126</v>
      </c>
      <c r="R13" s="60"/>
      <c r="S13" s="59">
        <v>280</v>
      </c>
      <c r="T13" s="59" t="str">
        <f>"257,2780"</f>
        <v>257,2780</v>
      </c>
      <c r="U13" s="59"/>
    </row>
    <row r="14" spans="1:21">
      <c r="A14" s="61" t="s">
        <v>150</v>
      </c>
      <c r="B14" s="61" t="s">
        <v>151</v>
      </c>
      <c r="C14" s="61" t="s">
        <v>152</v>
      </c>
      <c r="D14" s="61" t="str">
        <f>"0,9081"</f>
        <v>0,9081</v>
      </c>
      <c r="E14" s="61" t="s">
        <v>120</v>
      </c>
      <c r="F14" s="61" t="s">
        <v>153</v>
      </c>
      <c r="G14" s="62" t="s">
        <v>132</v>
      </c>
      <c r="H14" s="62" t="s">
        <v>132</v>
      </c>
      <c r="I14" s="61" t="s">
        <v>132</v>
      </c>
      <c r="J14" s="62"/>
      <c r="K14" s="61" t="s">
        <v>154</v>
      </c>
      <c r="L14" s="62" t="s">
        <v>124</v>
      </c>
      <c r="M14" s="61" t="s">
        <v>124</v>
      </c>
      <c r="N14" s="62"/>
      <c r="O14" s="61" t="s">
        <v>131</v>
      </c>
      <c r="P14" s="62" t="s">
        <v>155</v>
      </c>
      <c r="Q14" s="62" t="s">
        <v>155</v>
      </c>
      <c r="R14" s="62"/>
      <c r="S14" s="61">
        <v>217.5</v>
      </c>
      <c r="T14" s="61" t="str">
        <f>"197,5009"</f>
        <v>197,5009</v>
      </c>
      <c r="U14" s="61"/>
    </row>
    <row r="16" spans="1:21" ht="15">
      <c r="A16" s="58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1">
      <c r="A17" s="56" t="s">
        <v>156</v>
      </c>
      <c r="B17" s="56" t="s">
        <v>157</v>
      </c>
      <c r="C17" s="56" t="s">
        <v>158</v>
      </c>
      <c r="D17" s="56" t="str">
        <f>"0,8852"</f>
        <v>0,8852</v>
      </c>
      <c r="E17" s="56" t="s">
        <v>120</v>
      </c>
      <c r="F17" s="56" t="s">
        <v>159</v>
      </c>
      <c r="G17" s="56" t="s">
        <v>121</v>
      </c>
      <c r="H17" s="56" t="s">
        <v>135</v>
      </c>
      <c r="I17" s="57" t="s">
        <v>136</v>
      </c>
      <c r="J17" s="57"/>
      <c r="K17" s="57" t="s">
        <v>148</v>
      </c>
      <c r="L17" s="56" t="s">
        <v>141</v>
      </c>
      <c r="M17" s="57" t="s">
        <v>142</v>
      </c>
      <c r="N17" s="57"/>
      <c r="O17" s="56" t="s">
        <v>136</v>
      </c>
      <c r="P17" s="56" t="s">
        <v>160</v>
      </c>
      <c r="Q17" s="56" t="s">
        <v>149</v>
      </c>
      <c r="R17" s="57"/>
      <c r="S17" s="56">
        <v>280</v>
      </c>
      <c r="T17" s="56" t="str">
        <f>"247,8593"</f>
        <v>247,8593</v>
      </c>
      <c r="U17" s="56"/>
    </row>
    <row r="19" spans="1:21" ht="15">
      <c r="A19" s="58" t="s">
        <v>127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1">
      <c r="A20" s="56" t="s">
        <v>161</v>
      </c>
      <c r="B20" s="56" t="s">
        <v>162</v>
      </c>
      <c r="C20" s="56" t="s">
        <v>140</v>
      </c>
      <c r="D20" s="56" t="str">
        <f>"0,8356"</f>
        <v>0,8356</v>
      </c>
      <c r="E20" s="56" t="s">
        <v>163</v>
      </c>
      <c r="F20" s="56" t="s">
        <v>164</v>
      </c>
      <c r="G20" s="56" t="s">
        <v>24</v>
      </c>
      <c r="H20" s="56" t="s">
        <v>19</v>
      </c>
      <c r="I20" s="57"/>
      <c r="J20" s="57"/>
      <c r="K20" s="56" t="s">
        <v>165</v>
      </c>
      <c r="L20" s="57" t="s">
        <v>131</v>
      </c>
      <c r="M20" s="57" t="s">
        <v>131</v>
      </c>
      <c r="N20" s="57"/>
      <c r="O20" s="56" t="s">
        <v>33</v>
      </c>
      <c r="P20" s="57"/>
      <c r="Q20" s="57"/>
      <c r="R20" s="57"/>
      <c r="S20" s="56">
        <v>365</v>
      </c>
      <c r="T20" s="56" t="str">
        <f>"304,9758"</f>
        <v>304,9758</v>
      </c>
      <c r="U20" s="56"/>
    </row>
    <row r="22" spans="1:21" ht="15">
      <c r="A22" s="58" t="s">
        <v>143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1">
      <c r="A23" s="59" t="s">
        <v>166</v>
      </c>
      <c r="B23" s="59" t="s">
        <v>167</v>
      </c>
      <c r="C23" s="59" t="s">
        <v>168</v>
      </c>
      <c r="D23" s="59" t="str">
        <f>"0,7630"</f>
        <v>0,7630</v>
      </c>
      <c r="E23" s="59" t="s">
        <v>120</v>
      </c>
      <c r="F23" s="59" t="s">
        <v>153</v>
      </c>
      <c r="G23" s="59" t="s">
        <v>155</v>
      </c>
      <c r="H23" s="59" t="s">
        <v>132</v>
      </c>
      <c r="I23" s="59" t="s">
        <v>135</v>
      </c>
      <c r="J23" s="59" t="s">
        <v>136</v>
      </c>
      <c r="K23" s="59" t="s">
        <v>169</v>
      </c>
      <c r="L23" s="60" t="s">
        <v>170</v>
      </c>
      <c r="M23" s="60"/>
      <c r="N23" s="60"/>
      <c r="O23" s="59" t="s">
        <v>22</v>
      </c>
      <c r="P23" s="60" t="s">
        <v>149</v>
      </c>
      <c r="Q23" s="60" t="s">
        <v>149</v>
      </c>
      <c r="R23" s="60"/>
      <c r="S23" s="59">
        <v>282.5</v>
      </c>
      <c r="T23" s="59" t="str">
        <f>"215,5475"</f>
        <v>215,5475</v>
      </c>
      <c r="U23" s="59"/>
    </row>
    <row r="24" spans="1:21">
      <c r="A24" s="63" t="s">
        <v>171</v>
      </c>
      <c r="B24" s="63" t="s">
        <v>172</v>
      </c>
      <c r="C24" s="63" t="s">
        <v>168</v>
      </c>
      <c r="D24" s="63" t="str">
        <f>"0,7630"</f>
        <v>0,7630</v>
      </c>
      <c r="E24" s="63" t="s">
        <v>163</v>
      </c>
      <c r="F24" s="63" t="s">
        <v>164</v>
      </c>
      <c r="G24" s="63" t="s">
        <v>135</v>
      </c>
      <c r="H24" s="63" t="s">
        <v>173</v>
      </c>
      <c r="I24" s="63" t="s">
        <v>34</v>
      </c>
      <c r="J24" s="64"/>
      <c r="K24" s="63" t="s">
        <v>170</v>
      </c>
      <c r="L24" s="63" t="s">
        <v>155</v>
      </c>
      <c r="M24" s="64"/>
      <c r="N24" s="64"/>
      <c r="O24" s="64" t="s">
        <v>21</v>
      </c>
      <c r="P24" s="64" t="s">
        <v>21</v>
      </c>
      <c r="Q24" s="63" t="s">
        <v>21</v>
      </c>
      <c r="R24" s="64"/>
      <c r="S24" s="63">
        <v>420</v>
      </c>
      <c r="T24" s="63" t="str">
        <f>"320,4600"</f>
        <v>320,4600</v>
      </c>
      <c r="U24" s="63"/>
    </row>
    <row r="25" spans="1:21">
      <c r="A25" s="63" t="s">
        <v>174</v>
      </c>
      <c r="B25" s="63" t="s">
        <v>175</v>
      </c>
      <c r="C25" s="63" t="s">
        <v>176</v>
      </c>
      <c r="D25" s="63" t="str">
        <f>"0,7503"</f>
        <v>0,7503</v>
      </c>
      <c r="E25" s="63" t="s">
        <v>40</v>
      </c>
      <c r="F25" s="63" t="s">
        <v>177</v>
      </c>
      <c r="G25" s="63" t="s">
        <v>43</v>
      </c>
      <c r="H25" s="63" t="s">
        <v>21</v>
      </c>
      <c r="I25" s="63" t="s">
        <v>67</v>
      </c>
      <c r="J25" s="64"/>
      <c r="K25" s="63" t="s">
        <v>34</v>
      </c>
      <c r="L25" s="63" t="s">
        <v>178</v>
      </c>
      <c r="M25" s="64" t="s">
        <v>179</v>
      </c>
      <c r="N25" s="64"/>
      <c r="O25" s="63" t="s">
        <v>31</v>
      </c>
      <c r="P25" s="63" t="s">
        <v>180</v>
      </c>
      <c r="Q25" s="63" t="s">
        <v>181</v>
      </c>
      <c r="R25" s="64"/>
      <c r="S25" s="63">
        <v>590</v>
      </c>
      <c r="T25" s="63" t="str">
        <f>"442,7065"</f>
        <v>442,7065</v>
      </c>
      <c r="U25" s="63" t="s">
        <v>182</v>
      </c>
    </row>
    <row r="26" spans="1:21">
      <c r="A26" s="61" t="s">
        <v>183</v>
      </c>
      <c r="B26" s="61" t="s">
        <v>184</v>
      </c>
      <c r="C26" s="61" t="s">
        <v>185</v>
      </c>
      <c r="D26" s="61" t="str">
        <f>"0,7581"</f>
        <v>0,7581</v>
      </c>
      <c r="E26" s="61" t="s">
        <v>120</v>
      </c>
      <c r="F26" s="61" t="s">
        <v>72</v>
      </c>
      <c r="G26" s="61" t="s">
        <v>186</v>
      </c>
      <c r="H26" s="61" t="s">
        <v>44</v>
      </c>
      <c r="I26" s="61" t="s">
        <v>31</v>
      </c>
      <c r="J26" s="62"/>
      <c r="K26" s="61" t="s">
        <v>187</v>
      </c>
      <c r="L26" s="62" t="s">
        <v>149</v>
      </c>
      <c r="M26" s="61" t="s">
        <v>149</v>
      </c>
      <c r="N26" s="62"/>
      <c r="O26" s="61" t="s">
        <v>67</v>
      </c>
      <c r="P26" s="61" t="s">
        <v>188</v>
      </c>
      <c r="Q26" s="61" t="s">
        <v>30</v>
      </c>
      <c r="R26" s="62"/>
      <c r="S26" s="61">
        <v>540</v>
      </c>
      <c r="T26" s="61" t="str">
        <f>"409,3470"</f>
        <v>409,3470</v>
      </c>
      <c r="U26" s="61"/>
    </row>
    <row r="28" spans="1:21" ht="15">
      <c r="A28" s="58" t="s">
        <v>189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1">
      <c r="A29" s="59" t="s">
        <v>190</v>
      </c>
      <c r="B29" s="59" t="s">
        <v>191</v>
      </c>
      <c r="C29" s="59" t="s">
        <v>192</v>
      </c>
      <c r="D29" s="59" t="str">
        <f>"0,6885"</f>
        <v>0,6885</v>
      </c>
      <c r="E29" s="59" t="s">
        <v>120</v>
      </c>
      <c r="F29" s="59" t="s">
        <v>193</v>
      </c>
      <c r="G29" s="60" t="s">
        <v>35</v>
      </c>
      <c r="H29" s="59" t="s">
        <v>36</v>
      </c>
      <c r="I29" s="60" t="s">
        <v>66</v>
      </c>
      <c r="J29" s="60"/>
      <c r="K29" s="59" t="s">
        <v>33</v>
      </c>
      <c r="L29" s="60" t="s">
        <v>194</v>
      </c>
      <c r="M29" s="59" t="s">
        <v>194</v>
      </c>
      <c r="N29" s="60"/>
      <c r="O29" s="59" t="s">
        <v>31</v>
      </c>
      <c r="P29" s="59" t="s">
        <v>46</v>
      </c>
      <c r="Q29" s="60" t="s">
        <v>195</v>
      </c>
      <c r="R29" s="60"/>
      <c r="S29" s="59">
        <v>635</v>
      </c>
      <c r="T29" s="59" t="str">
        <f>"437,2292"</f>
        <v>437,2292</v>
      </c>
      <c r="U29" s="59" t="s">
        <v>196</v>
      </c>
    </row>
    <row r="30" spans="1:21">
      <c r="A30" s="61" t="s">
        <v>197</v>
      </c>
      <c r="B30" s="61" t="s">
        <v>198</v>
      </c>
      <c r="C30" s="61" t="s">
        <v>199</v>
      </c>
      <c r="D30" s="61" t="str">
        <f>"0,6899"</f>
        <v>0,6899</v>
      </c>
      <c r="E30" s="61" t="s">
        <v>163</v>
      </c>
      <c r="F30" s="61" t="s">
        <v>164</v>
      </c>
      <c r="G30" s="61" t="s">
        <v>30</v>
      </c>
      <c r="H30" s="62" t="s">
        <v>31</v>
      </c>
      <c r="I30" s="61" t="s">
        <v>53</v>
      </c>
      <c r="J30" s="62"/>
      <c r="K30" s="61" t="s">
        <v>149</v>
      </c>
      <c r="L30" s="62" t="s">
        <v>24</v>
      </c>
      <c r="M30" s="62" t="s">
        <v>24</v>
      </c>
      <c r="N30" s="62"/>
      <c r="O30" s="61" t="s">
        <v>30</v>
      </c>
      <c r="P30" s="62"/>
      <c r="Q30" s="62"/>
      <c r="R30" s="62"/>
      <c r="S30" s="61">
        <v>565</v>
      </c>
      <c r="T30" s="61" t="str">
        <f>"389,7935"</f>
        <v>389,7935</v>
      </c>
      <c r="U30" s="61"/>
    </row>
    <row r="32" spans="1:21" ht="15">
      <c r="A32" s="58" t="s">
        <v>13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1">
      <c r="A33" s="59" t="s">
        <v>200</v>
      </c>
      <c r="B33" s="59" t="s">
        <v>201</v>
      </c>
      <c r="C33" s="59" t="s">
        <v>202</v>
      </c>
      <c r="D33" s="59" t="str">
        <f>"0,6529"</f>
        <v>0,6529</v>
      </c>
      <c r="E33" s="59" t="s">
        <v>17</v>
      </c>
      <c r="F33" s="59" t="s">
        <v>72</v>
      </c>
      <c r="G33" s="60" t="s">
        <v>32</v>
      </c>
      <c r="H33" s="60" t="s">
        <v>32</v>
      </c>
      <c r="I33" s="59" t="s">
        <v>32</v>
      </c>
      <c r="J33" s="60"/>
      <c r="K33" s="59" t="s">
        <v>22</v>
      </c>
      <c r="L33" s="59" t="s">
        <v>149</v>
      </c>
      <c r="M33" s="60" t="s">
        <v>173</v>
      </c>
      <c r="N33" s="60"/>
      <c r="O33" s="59" t="s">
        <v>22</v>
      </c>
      <c r="P33" s="59" t="s">
        <v>32</v>
      </c>
      <c r="Q33" s="60" t="s">
        <v>21</v>
      </c>
      <c r="R33" s="60"/>
      <c r="S33" s="59">
        <v>400</v>
      </c>
      <c r="T33" s="59" t="str">
        <f>"261,1600"</f>
        <v>261,1600</v>
      </c>
      <c r="U33" s="59"/>
    </row>
    <row r="34" spans="1:21">
      <c r="A34" s="63" t="s">
        <v>203</v>
      </c>
      <c r="B34" s="63" t="s">
        <v>204</v>
      </c>
      <c r="C34" s="63" t="s">
        <v>205</v>
      </c>
      <c r="D34" s="63" t="str">
        <f>"0,6508"</f>
        <v>0,6508</v>
      </c>
      <c r="E34" s="63" t="s">
        <v>120</v>
      </c>
      <c r="F34" s="63" t="s">
        <v>206</v>
      </c>
      <c r="G34" s="63" t="s">
        <v>83</v>
      </c>
      <c r="H34" s="64" t="s">
        <v>186</v>
      </c>
      <c r="I34" s="64" t="s">
        <v>61</v>
      </c>
      <c r="J34" s="64"/>
      <c r="K34" s="63" t="s">
        <v>43</v>
      </c>
      <c r="L34" s="63" t="s">
        <v>21</v>
      </c>
      <c r="M34" s="64" t="s">
        <v>67</v>
      </c>
      <c r="N34" s="64"/>
      <c r="O34" s="64" t="s">
        <v>52</v>
      </c>
      <c r="P34" s="63" t="s">
        <v>52</v>
      </c>
      <c r="Q34" s="63" t="s">
        <v>36</v>
      </c>
      <c r="R34" s="63" t="s">
        <v>207</v>
      </c>
      <c r="S34" s="63">
        <v>610</v>
      </c>
      <c r="T34" s="63" t="str">
        <f>"396,9880"</f>
        <v>396,9880</v>
      </c>
      <c r="U34" s="63"/>
    </row>
    <row r="35" spans="1:21">
      <c r="A35" s="63" t="s">
        <v>208</v>
      </c>
      <c r="B35" s="63" t="s">
        <v>209</v>
      </c>
      <c r="C35" s="63" t="s">
        <v>210</v>
      </c>
      <c r="D35" s="63" t="str">
        <f>"0,6524"</f>
        <v>0,6524</v>
      </c>
      <c r="E35" s="63" t="s">
        <v>17</v>
      </c>
      <c r="F35" s="63" t="s">
        <v>29</v>
      </c>
      <c r="G35" s="63" t="s">
        <v>61</v>
      </c>
      <c r="H35" s="64" t="s">
        <v>35</v>
      </c>
      <c r="I35" s="64" t="s">
        <v>36</v>
      </c>
      <c r="J35" s="64"/>
      <c r="K35" s="63" t="s">
        <v>32</v>
      </c>
      <c r="L35" s="63" t="s">
        <v>19</v>
      </c>
      <c r="M35" s="63" t="s">
        <v>33</v>
      </c>
      <c r="N35" s="64"/>
      <c r="O35" s="63" t="s">
        <v>61</v>
      </c>
      <c r="P35" s="63" t="s">
        <v>211</v>
      </c>
      <c r="Q35" s="64" t="s">
        <v>52</v>
      </c>
      <c r="R35" s="64"/>
      <c r="S35" s="63">
        <v>585</v>
      </c>
      <c r="T35" s="63" t="str">
        <f>"381,6248"</f>
        <v>381,6248</v>
      </c>
      <c r="U35" s="63"/>
    </row>
    <row r="36" spans="1:21">
      <c r="A36" s="63" t="s">
        <v>212</v>
      </c>
      <c r="B36" s="63" t="s">
        <v>213</v>
      </c>
      <c r="C36" s="63" t="s">
        <v>214</v>
      </c>
      <c r="D36" s="63" t="str">
        <f>"0,6578"</f>
        <v>0,6578</v>
      </c>
      <c r="E36" s="63" t="s">
        <v>17</v>
      </c>
      <c r="F36" s="63" t="s">
        <v>215</v>
      </c>
      <c r="G36" s="64" t="s">
        <v>21</v>
      </c>
      <c r="H36" s="63" t="s">
        <v>21</v>
      </c>
      <c r="I36" s="64" t="s">
        <v>30</v>
      </c>
      <c r="J36" s="64"/>
      <c r="K36" s="63" t="s">
        <v>24</v>
      </c>
      <c r="L36" s="63" t="s">
        <v>32</v>
      </c>
      <c r="M36" s="64" t="s">
        <v>19</v>
      </c>
      <c r="N36" s="64"/>
      <c r="O36" s="63" t="s">
        <v>83</v>
      </c>
      <c r="P36" s="63" t="s">
        <v>186</v>
      </c>
      <c r="Q36" s="64" t="s">
        <v>61</v>
      </c>
      <c r="R36" s="64"/>
      <c r="S36" s="63">
        <v>525</v>
      </c>
      <c r="T36" s="63" t="str">
        <f>"345,3450"</f>
        <v>345,3450</v>
      </c>
      <c r="U36" s="63"/>
    </row>
    <row r="37" spans="1:21">
      <c r="A37" s="61" t="s">
        <v>216</v>
      </c>
      <c r="B37" s="61" t="s">
        <v>217</v>
      </c>
      <c r="C37" s="61" t="s">
        <v>218</v>
      </c>
      <c r="D37" s="61" t="str">
        <f>"1,1236"</f>
        <v>1,1236</v>
      </c>
      <c r="E37" s="61" t="s">
        <v>17</v>
      </c>
      <c r="F37" s="61" t="s">
        <v>159</v>
      </c>
      <c r="G37" s="61" t="s">
        <v>42</v>
      </c>
      <c r="H37" s="61" t="s">
        <v>54</v>
      </c>
      <c r="I37" s="62" t="s">
        <v>21</v>
      </c>
      <c r="J37" s="62"/>
      <c r="K37" s="61" t="s">
        <v>136</v>
      </c>
      <c r="L37" s="61" t="s">
        <v>22</v>
      </c>
      <c r="M37" s="62" t="s">
        <v>160</v>
      </c>
      <c r="N37" s="62"/>
      <c r="O37" s="61" t="s">
        <v>67</v>
      </c>
      <c r="P37" s="61" t="s">
        <v>188</v>
      </c>
      <c r="Q37" s="61" t="s">
        <v>30</v>
      </c>
      <c r="R37" s="62"/>
      <c r="S37" s="61">
        <v>485</v>
      </c>
      <c r="T37" s="61" t="str">
        <f>"544,9324"</f>
        <v>544,9324</v>
      </c>
      <c r="U37" s="61"/>
    </row>
    <row r="39" spans="1:21" ht="15">
      <c r="A39" s="58" t="s">
        <v>25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1">
      <c r="A40" s="59" t="s">
        <v>219</v>
      </c>
      <c r="B40" s="59" t="s">
        <v>220</v>
      </c>
      <c r="C40" s="59" t="s">
        <v>221</v>
      </c>
      <c r="D40" s="59" t="str">
        <f>"0,6122"</f>
        <v>0,6122</v>
      </c>
      <c r="E40" s="59" t="s">
        <v>17</v>
      </c>
      <c r="F40" s="59" t="s">
        <v>222</v>
      </c>
      <c r="G40" s="60" t="s">
        <v>20</v>
      </c>
      <c r="H40" s="60" t="s">
        <v>43</v>
      </c>
      <c r="I40" s="60" t="s">
        <v>43</v>
      </c>
      <c r="J40" s="60"/>
      <c r="K40" s="60" t="s">
        <v>160</v>
      </c>
      <c r="L40" s="60"/>
      <c r="M40" s="60"/>
      <c r="N40" s="60"/>
      <c r="O40" s="60" t="s">
        <v>188</v>
      </c>
      <c r="P40" s="60"/>
      <c r="Q40" s="60"/>
      <c r="R40" s="60"/>
      <c r="S40" s="59">
        <v>0</v>
      </c>
      <c r="T40" s="59" t="str">
        <f>"0,0000"</f>
        <v>0,0000</v>
      </c>
      <c r="U40" s="59"/>
    </row>
    <row r="41" spans="1:21">
      <c r="A41" s="63" t="s">
        <v>223</v>
      </c>
      <c r="B41" s="63" t="s">
        <v>224</v>
      </c>
      <c r="C41" s="63" t="s">
        <v>225</v>
      </c>
      <c r="D41" s="63" t="str">
        <f>"0,6201"</f>
        <v>0,6201</v>
      </c>
      <c r="E41" s="63" t="s">
        <v>17</v>
      </c>
      <c r="F41" s="63" t="s">
        <v>226</v>
      </c>
      <c r="G41" s="64" t="s">
        <v>227</v>
      </c>
      <c r="H41" s="63" t="s">
        <v>227</v>
      </c>
      <c r="I41" s="64" t="s">
        <v>83</v>
      </c>
      <c r="J41" s="64"/>
      <c r="K41" s="63" t="s">
        <v>22</v>
      </c>
      <c r="L41" s="64" t="s">
        <v>187</v>
      </c>
      <c r="M41" s="64" t="s">
        <v>187</v>
      </c>
      <c r="N41" s="64"/>
      <c r="O41" s="63" t="s">
        <v>67</v>
      </c>
      <c r="P41" s="63" t="s">
        <v>188</v>
      </c>
      <c r="Q41" s="64" t="s">
        <v>30</v>
      </c>
      <c r="R41" s="64"/>
      <c r="S41" s="63">
        <v>492.5</v>
      </c>
      <c r="T41" s="63" t="str">
        <f>"305,3993"</f>
        <v>305,3993</v>
      </c>
      <c r="U41" s="63"/>
    </row>
    <row r="42" spans="1:21">
      <c r="A42" s="61" t="s">
        <v>228</v>
      </c>
      <c r="B42" s="61" t="s">
        <v>229</v>
      </c>
      <c r="C42" s="61" t="s">
        <v>230</v>
      </c>
      <c r="D42" s="61" t="str">
        <f>"0,6349"</f>
        <v>0,6349</v>
      </c>
      <c r="E42" s="61" t="s">
        <v>17</v>
      </c>
      <c r="F42" s="61" t="s">
        <v>153</v>
      </c>
      <c r="G42" s="62" t="s">
        <v>43</v>
      </c>
      <c r="H42" s="62" t="s">
        <v>43</v>
      </c>
      <c r="I42" s="61" t="s">
        <v>67</v>
      </c>
      <c r="J42" s="62"/>
      <c r="K42" s="61" t="s">
        <v>132</v>
      </c>
      <c r="L42" s="62" t="s">
        <v>121</v>
      </c>
      <c r="M42" s="62" t="s">
        <v>121</v>
      </c>
      <c r="N42" s="62"/>
      <c r="O42" s="61" t="s">
        <v>43</v>
      </c>
      <c r="P42" s="61" t="s">
        <v>21</v>
      </c>
      <c r="Q42" s="62" t="s">
        <v>83</v>
      </c>
      <c r="R42" s="62"/>
      <c r="S42" s="61">
        <v>455</v>
      </c>
      <c r="T42" s="61" t="str">
        <f>"288,9022"</f>
        <v>288,9022</v>
      </c>
      <c r="U42" s="61"/>
    </row>
    <row r="44" spans="1:21" ht="15">
      <c r="A44" s="58" t="s">
        <v>47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1">
      <c r="A45" s="59" t="s">
        <v>231</v>
      </c>
      <c r="B45" s="59" t="s">
        <v>232</v>
      </c>
      <c r="C45" s="59" t="s">
        <v>233</v>
      </c>
      <c r="D45" s="59" t="str">
        <f>"0,5835"</f>
        <v>0,5835</v>
      </c>
      <c r="E45" s="59" t="s">
        <v>120</v>
      </c>
      <c r="F45" s="59" t="s">
        <v>234</v>
      </c>
      <c r="G45" s="60" t="s">
        <v>207</v>
      </c>
      <c r="H45" s="59" t="s">
        <v>207</v>
      </c>
      <c r="I45" s="59" t="s">
        <v>55</v>
      </c>
      <c r="J45" s="60"/>
      <c r="K45" s="59" t="s">
        <v>20</v>
      </c>
      <c r="L45" s="59" t="s">
        <v>43</v>
      </c>
      <c r="M45" s="59" t="s">
        <v>235</v>
      </c>
      <c r="N45" s="60"/>
      <c r="O45" s="59" t="s">
        <v>53</v>
      </c>
      <c r="P45" s="59" t="s">
        <v>236</v>
      </c>
      <c r="Q45" s="60" t="s">
        <v>207</v>
      </c>
      <c r="R45" s="60"/>
      <c r="S45" s="59">
        <v>697.5</v>
      </c>
      <c r="T45" s="59" t="str">
        <f>"407,0261"</f>
        <v>407,0261</v>
      </c>
      <c r="U45" s="59"/>
    </row>
    <row r="46" spans="1:21">
      <c r="A46" s="63" t="s">
        <v>237</v>
      </c>
      <c r="B46" s="63" t="s">
        <v>238</v>
      </c>
      <c r="C46" s="63" t="s">
        <v>239</v>
      </c>
      <c r="D46" s="63" t="str">
        <f>"0,5946"</f>
        <v>0,5946</v>
      </c>
      <c r="E46" s="63" t="s">
        <v>120</v>
      </c>
      <c r="F46" s="63" t="s">
        <v>153</v>
      </c>
      <c r="G46" s="63" t="s">
        <v>36</v>
      </c>
      <c r="H46" s="63" t="s">
        <v>66</v>
      </c>
      <c r="I46" s="64" t="s">
        <v>240</v>
      </c>
      <c r="J46" s="64"/>
      <c r="K46" s="63" t="s">
        <v>20</v>
      </c>
      <c r="L46" s="63" t="s">
        <v>42</v>
      </c>
      <c r="M46" s="63" t="s">
        <v>179</v>
      </c>
      <c r="N46" s="64"/>
      <c r="O46" s="63" t="s">
        <v>207</v>
      </c>
      <c r="P46" s="64" t="s">
        <v>241</v>
      </c>
      <c r="Q46" s="64" t="s">
        <v>241</v>
      </c>
      <c r="R46" s="64"/>
      <c r="S46" s="63">
        <v>677.5</v>
      </c>
      <c r="T46" s="63" t="str">
        <f>"402,8415"</f>
        <v>402,8415</v>
      </c>
      <c r="U46" s="63"/>
    </row>
    <row r="47" spans="1:21">
      <c r="A47" s="63" t="s">
        <v>242</v>
      </c>
      <c r="B47" s="63" t="s">
        <v>243</v>
      </c>
      <c r="C47" s="63" t="s">
        <v>64</v>
      </c>
      <c r="D47" s="63" t="str">
        <f>"0,5838"</f>
        <v>0,5838</v>
      </c>
      <c r="E47" s="63" t="s">
        <v>120</v>
      </c>
      <c r="F47" s="63" t="s">
        <v>244</v>
      </c>
      <c r="G47" s="64" t="s">
        <v>35</v>
      </c>
      <c r="H47" s="63" t="s">
        <v>35</v>
      </c>
      <c r="I47" s="64" t="s">
        <v>181</v>
      </c>
      <c r="J47" s="64"/>
      <c r="K47" s="63" t="s">
        <v>20</v>
      </c>
      <c r="L47" s="63" t="s">
        <v>179</v>
      </c>
      <c r="M47" s="64" t="s">
        <v>245</v>
      </c>
      <c r="N47" s="64"/>
      <c r="O47" s="64" t="s">
        <v>180</v>
      </c>
      <c r="P47" s="63" t="s">
        <v>180</v>
      </c>
      <c r="Q47" s="64" t="s">
        <v>66</v>
      </c>
      <c r="R47" s="64"/>
      <c r="S47" s="63">
        <v>635</v>
      </c>
      <c r="T47" s="63" t="str">
        <f>"370,7130"</f>
        <v>370,7130</v>
      </c>
      <c r="U47" s="63"/>
    </row>
    <row r="48" spans="1:21">
      <c r="A48" s="61" t="s">
        <v>246</v>
      </c>
      <c r="B48" s="61" t="s">
        <v>247</v>
      </c>
      <c r="C48" s="61" t="s">
        <v>248</v>
      </c>
      <c r="D48" s="61" t="str">
        <f>"0,6265"</f>
        <v>0,6265</v>
      </c>
      <c r="E48" s="61" t="s">
        <v>120</v>
      </c>
      <c r="F48" s="61" t="s">
        <v>249</v>
      </c>
      <c r="G48" s="61" t="s">
        <v>54</v>
      </c>
      <c r="H48" s="62" t="s">
        <v>30</v>
      </c>
      <c r="I48" s="62" t="s">
        <v>30</v>
      </c>
      <c r="J48" s="62"/>
      <c r="K48" s="61" t="s">
        <v>126</v>
      </c>
      <c r="L48" s="61" t="s">
        <v>24</v>
      </c>
      <c r="M48" s="62"/>
      <c r="N48" s="62"/>
      <c r="O48" s="61" t="s">
        <v>21</v>
      </c>
      <c r="P48" s="61" t="s">
        <v>186</v>
      </c>
      <c r="Q48" s="62"/>
      <c r="R48" s="62"/>
      <c r="S48" s="61">
        <v>515</v>
      </c>
      <c r="T48" s="61" t="str">
        <f>"322,6361"</f>
        <v>322,6361</v>
      </c>
      <c r="U48" s="61"/>
    </row>
    <row r="50" spans="1:21" ht="1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1">
      <c r="A51" s="59" t="s">
        <v>250</v>
      </c>
      <c r="B51" s="59" t="s">
        <v>251</v>
      </c>
      <c r="C51" s="59" t="s">
        <v>252</v>
      </c>
      <c r="D51" s="59" t="str">
        <f>"0,5629"</f>
        <v>0,5629</v>
      </c>
      <c r="E51" s="59" t="s">
        <v>163</v>
      </c>
      <c r="F51" s="59" t="s">
        <v>164</v>
      </c>
      <c r="G51" s="59" t="s">
        <v>55</v>
      </c>
      <c r="H51" s="59" t="s">
        <v>253</v>
      </c>
      <c r="I51" s="60" t="s">
        <v>73</v>
      </c>
      <c r="J51" s="60"/>
      <c r="K51" s="59" t="s">
        <v>21</v>
      </c>
      <c r="L51" s="59" t="s">
        <v>83</v>
      </c>
      <c r="M51" s="60" t="s">
        <v>254</v>
      </c>
      <c r="N51" s="60"/>
      <c r="O51" s="59" t="s">
        <v>66</v>
      </c>
      <c r="P51" s="60" t="s">
        <v>207</v>
      </c>
      <c r="Q51" s="60" t="s">
        <v>207</v>
      </c>
      <c r="R51" s="60"/>
      <c r="S51" s="59">
        <v>725</v>
      </c>
      <c r="T51" s="59" t="str">
        <f>"408,1025"</f>
        <v>408,1025</v>
      </c>
      <c r="U51" s="59"/>
    </row>
    <row r="52" spans="1:21">
      <c r="A52" s="63" t="s">
        <v>255</v>
      </c>
      <c r="B52" s="63" t="s">
        <v>256</v>
      </c>
      <c r="C52" s="63" t="s">
        <v>257</v>
      </c>
      <c r="D52" s="63" t="str">
        <f>"0,5635"</f>
        <v>0,5635</v>
      </c>
      <c r="E52" s="63" t="s">
        <v>120</v>
      </c>
      <c r="F52" s="63" t="s">
        <v>72</v>
      </c>
      <c r="G52" s="63" t="s">
        <v>31</v>
      </c>
      <c r="H52" s="63" t="s">
        <v>35</v>
      </c>
      <c r="I52" s="63" t="s">
        <v>66</v>
      </c>
      <c r="J52" s="64"/>
      <c r="K52" s="64" t="s">
        <v>54</v>
      </c>
      <c r="L52" s="63" t="s">
        <v>54</v>
      </c>
      <c r="M52" s="64" t="s">
        <v>67</v>
      </c>
      <c r="N52" s="64"/>
      <c r="O52" s="63" t="s">
        <v>36</v>
      </c>
      <c r="P52" s="63" t="s">
        <v>66</v>
      </c>
      <c r="Q52" s="64" t="s">
        <v>207</v>
      </c>
      <c r="R52" s="64"/>
      <c r="S52" s="63">
        <v>675</v>
      </c>
      <c r="T52" s="63" t="str">
        <f>"380,3625"</f>
        <v>380,3625</v>
      </c>
      <c r="U52" s="63"/>
    </row>
    <row r="53" spans="1:21">
      <c r="A53" s="63" t="s">
        <v>258</v>
      </c>
      <c r="B53" s="63" t="s">
        <v>259</v>
      </c>
      <c r="C53" s="63" t="s">
        <v>260</v>
      </c>
      <c r="D53" s="63" t="str">
        <f>"0,5695"</f>
        <v>0,5695</v>
      </c>
      <c r="E53" s="63" t="s">
        <v>17</v>
      </c>
      <c r="F53" s="63" t="s">
        <v>159</v>
      </c>
      <c r="G53" s="64" t="s">
        <v>61</v>
      </c>
      <c r="H53" s="64" t="s">
        <v>44</v>
      </c>
      <c r="I53" s="64" t="s">
        <v>44</v>
      </c>
      <c r="J53" s="64"/>
      <c r="K53" s="64" t="s">
        <v>32</v>
      </c>
      <c r="L53" s="64"/>
      <c r="M53" s="64"/>
      <c r="N53" s="64"/>
      <c r="O53" s="64" t="s">
        <v>31</v>
      </c>
      <c r="P53" s="64"/>
      <c r="Q53" s="64"/>
      <c r="R53" s="64"/>
      <c r="S53" s="63">
        <v>0</v>
      </c>
      <c r="T53" s="63" t="str">
        <f>"0,0000"</f>
        <v>0,0000</v>
      </c>
      <c r="U53" s="63"/>
    </row>
    <row r="54" spans="1:21">
      <c r="A54" s="63" t="s">
        <v>261</v>
      </c>
      <c r="B54" s="63" t="s">
        <v>262</v>
      </c>
      <c r="C54" s="63" t="s">
        <v>263</v>
      </c>
      <c r="D54" s="63" t="str">
        <f>"0,5723"</f>
        <v>0,5723</v>
      </c>
      <c r="E54" s="63" t="s">
        <v>120</v>
      </c>
      <c r="F54" s="63" t="s">
        <v>264</v>
      </c>
      <c r="G54" s="63" t="s">
        <v>31</v>
      </c>
      <c r="H54" s="63" t="s">
        <v>180</v>
      </c>
      <c r="I54" s="64" t="s">
        <v>181</v>
      </c>
      <c r="J54" s="64"/>
      <c r="K54" s="63" t="s">
        <v>32</v>
      </c>
      <c r="L54" s="63" t="s">
        <v>265</v>
      </c>
      <c r="M54" s="63" t="s">
        <v>178</v>
      </c>
      <c r="N54" s="64"/>
      <c r="O54" s="63" t="s">
        <v>211</v>
      </c>
      <c r="P54" s="63" t="s">
        <v>35</v>
      </c>
      <c r="Q54" s="63" t="s">
        <v>195</v>
      </c>
      <c r="R54" s="64"/>
      <c r="S54" s="63">
        <v>642.5</v>
      </c>
      <c r="T54" s="63" t="str">
        <f>"367,7133"</f>
        <v>367,7133</v>
      </c>
      <c r="U54" s="63"/>
    </row>
    <row r="55" spans="1:21">
      <c r="A55" s="61" t="s">
        <v>266</v>
      </c>
      <c r="B55" s="61" t="s">
        <v>267</v>
      </c>
      <c r="C55" s="61" t="s">
        <v>268</v>
      </c>
      <c r="D55" s="61" t="str">
        <f>"0,6375"</f>
        <v>0,6375</v>
      </c>
      <c r="E55" s="61" t="s">
        <v>269</v>
      </c>
      <c r="F55" s="61" t="s">
        <v>164</v>
      </c>
      <c r="G55" s="62" t="s">
        <v>126</v>
      </c>
      <c r="H55" s="61" t="s">
        <v>126</v>
      </c>
      <c r="I55" s="62"/>
      <c r="J55" s="62"/>
      <c r="K55" s="61" t="s">
        <v>22</v>
      </c>
      <c r="L55" s="61" t="s">
        <v>270</v>
      </c>
      <c r="M55" s="62" t="s">
        <v>23</v>
      </c>
      <c r="N55" s="62"/>
      <c r="O55" s="61" t="s">
        <v>135</v>
      </c>
      <c r="P55" s="62"/>
      <c r="Q55" s="62"/>
      <c r="R55" s="62"/>
      <c r="S55" s="61">
        <v>342.5</v>
      </c>
      <c r="T55" s="61" t="str">
        <f>"218,3337"</f>
        <v>218,3337</v>
      </c>
      <c r="U55" s="61"/>
    </row>
    <row r="57" spans="1:21" ht="15">
      <c r="A57" s="58" t="s">
        <v>271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1">
      <c r="A58" s="59" t="s">
        <v>272</v>
      </c>
      <c r="B58" s="59" t="s">
        <v>273</v>
      </c>
      <c r="C58" s="59" t="s">
        <v>274</v>
      </c>
      <c r="D58" s="59" t="str">
        <f>"0,5609"</f>
        <v>0,5609</v>
      </c>
      <c r="E58" s="59" t="s">
        <v>163</v>
      </c>
      <c r="F58" s="59" t="s">
        <v>164</v>
      </c>
      <c r="G58" s="59" t="s">
        <v>52</v>
      </c>
      <c r="H58" s="60" t="s">
        <v>66</v>
      </c>
      <c r="I58" s="59" t="s">
        <v>207</v>
      </c>
      <c r="J58" s="60"/>
      <c r="K58" s="59" t="s">
        <v>32</v>
      </c>
      <c r="L58" s="59" t="s">
        <v>33</v>
      </c>
      <c r="M58" s="60" t="s">
        <v>20</v>
      </c>
      <c r="N58" s="60"/>
      <c r="O58" s="59" t="s">
        <v>30</v>
      </c>
      <c r="P58" s="60" t="s">
        <v>45</v>
      </c>
      <c r="Q58" s="60"/>
      <c r="R58" s="60"/>
      <c r="S58" s="59">
        <v>610</v>
      </c>
      <c r="T58" s="59" t="str">
        <f>"342,1185"</f>
        <v>342,1185</v>
      </c>
      <c r="U58" s="59"/>
    </row>
    <row r="59" spans="1:21">
      <c r="A59" s="63" t="s">
        <v>275</v>
      </c>
      <c r="B59" s="63" t="s">
        <v>276</v>
      </c>
      <c r="C59" s="63" t="s">
        <v>277</v>
      </c>
      <c r="D59" s="63" t="str">
        <f>"0,5487"</f>
        <v>0,5487</v>
      </c>
      <c r="E59" s="63" t="s">
        <v>17</v>
      </c>
      <c r="F59" s="63" t="s">
        <v>72</v>
      </c>
      <c r="G59" s="63" t="s">
        <v>253</v>
      </c>
      <c r="H59" s="63" t="s">
        <v>73</v>
      </c>
      <c r="I59" s="64"/>
      <c r="J59" s="64"/>
      <c r="K59" s="63" t="s">
        <v>42</v>
      </c>
      <c r="L59" s="63" t="s">
        <v>43</v>
      </c>
      <c r="M59" s="63" t="s">
        <v>54</v>
      </c>
      <c r="N59" s="64"/>
      <c r="O59" s="63" t="s">
        <v>55</v>
      </c>
      <c r="P59" s="63" t="s">
        <v>278</v>
      </c>
      <c r="Q59" s="64" t="s">
        <v>73</v>
      </c>
      <c r="R59" s="64"/>
      <c r="S59" s="63">
        <v>765</v>
      </c>
      <c r="T59" s="63" t="str">
        <f>"419,7937"</f>
        <v>419,7937</v>
      </c>
      <c r="U59" s="63"/>
    </row>
    <row r="60" spans="1:21">
      <c r="A60" s="63" t="s">
        <v>279</v>
      </c>
      <c r="B60" s="63" t="s">
        <v>280</v>
      </c>
      <c r="C60" s="63" t="s">
        <v>281</v>
      </c>
      <c r="D60" s="63" t="str">
        <f>"0,5504"</f>
        <v>0,5504</v>
      </c>
      <c r="E60" s="63" t="s">
        <v>17</v>
      </c>
      <c r="F60" s="63" t="s">
        <v>282</v>
      </c>
      <c r="G60" s="63" t="s">
        <v>44</v>
      </c>
      <c r="H60" s="64" t="s">
        <v>31</v>
      </c>
      <c r="I60" s="64"/>
      <c r="J60" s="64"/>
      <c r="K60" s="63" t="s">
        <v>235</v>
      </c>
      <c r="L60" s="64" t="s">
        <v>54</v>
      </c>
      <c r="M60" s="63" t="s">
        <v>54</v>
      </c>
      <c r="N60" s="64"/>
      <c r="O60" s="63" t="s">
        <v>44</v>
      </c>
      <c r="P60" s="64"/>
      <c r="Q60" s="64"/>
      <c r="R60" s="64"/>
      <c r="S60" s="63">
        <v>605</v>
      </c>
      <c r="T60" s="63" t="str">
        <f>"332,9618"</f>
        <v>332,9618</v>
      </c>
      <c r="U60" s="63"/>
    </row>
    <row r="61" spans="1:21">
      <c r="A61" s="61" t="s">
        <v>279</v>
      </c>
      <c r="B61" s="61" t="s">
        <v>283</v>
      </c>
      <c r="C61" s="61" t="s">
        <v>281</v>
      </c>
      <c r="D61" s="61" t="str">
        <f>"0,5504"</f>
        <v>0,5504</v>
      </c>
      <c r="E61" s="61" t="s">
        <v>17</v>
      </c>
      <c r="F61" s="61" t="s">
        <v>282</v>
      </c>
      <c r="G61" s="61" t="s">
        <v>44</v>
      </c>
      <c r="H61" s="62" t="s">
        <v>31</v>
      </c>
      <c r="I61" s="62"/>
      <c r="J61" s="62"/>
      <c r="K61" s="61" t="s">
        <v>235</v>
      </c>
      <c r="L61" s="62" t="s">
        <v>54</v>
      </c>
      <c r="M61" s="61" t="s">
        <v>54</v>
      </c>
      <c r="N61" s="62"/>
      <c r="O61" s="61" t="s">
        <v>44</v>
      </c>
      <c r="P61" s="62"/>
      <c r="Q61" s="62"/>
      <c r="R61" s="62"/>
      <c r="S61" s="61">
        <v>605</v>
      </c>
      <c r="T61" s="61" t="str">
        <f>"332,9618"</f>
        <v>332,9618</v>
      </c>
      <c r="U61" s="61"/>
    </row>
    <row r="63" spans="1:21" ht="15">
      <c r="E63" s="65" t="s">
        <v>84</v>
      </c>
    </row>
    <row r="64" spans="1:21" ht="15">
      <c r="E64" s="65" t="s">
        <v>85</v>
      </c>
    </row>
    <row r="65" spans="1:5" ht="15">
      <c r="E65" s="65" t="s">
        <v>86</v>
      </c>
    </row>
    <row r="66" spans="1:5">
      <c r="E66" s="55" t="s">
        <v>87</v>
      </c>
    </row>
    <row r="67" spans="1:5">
      <c r="E67" s="55" t="s">
        <v>88</v>
      </c>
    </row>
    <row r="68" spans="1:5">
      <c r="E68" s="55" t="s">
        <v>89</v>
      </c>
    </row>
    <row r="71" spans="1:5" ht="18">
      <c r="A71" s="66" t="s">
        <v>90</v>
      </c>
      <c r="B71" s="66"/>
    </row>
    <row r="72" spans="1:5" ht="15">
      <c r="A72" s="67" t="s">
        <v>284</v>
      </c>
      <c r="B72" s="67"/>
    </row>
    <row r="73" spans="1:5" ht="14.25">
      <c r="A73" s="69" t="s">
        <v>285</v>
      </c>
      <c r="B73" s="70"/>
    </row>
    <row r="74" spans="1:5" ht="15">
      <c r="A74" s="71" t="s">
        <v>0</v>
      </c>
      <c r="B74" s="71" t="s">
        <v>93</v>
      </c>
      <c r="C74" s="71" t="s">
        <v>94</v>
      </c>
      <c r="D74" s="71" t="s">
        <v>7</v>
      </c>
      <c r="E74" s="71" t="s">
        <v>95</v>
      </c>
    </row>
    <row r="75" spans="1:5">
      <c r="A75" s="68" t="s">
        <v>128</v>
      </c>
      <c r="B75" s="55" t="s">
        <v>286</v>
      </c>
      <c r="C75" s="55" t="s">
        <v>287</v>
      </c>
      <c r="D75" s="55" t="s">
        <v>35</v>
      </c>
      <c r="E75" s="72" t="s">
        <v>288</v>
      </c>
    </row>
    <row r="77" spans="1:5" ht="14.25">
      <c r="A77" s="69" t="s">
        <v>100</v>
      </c>
      <c r="B77" s="70"/>
    </row>
    <row r="78" spans="1:5" ht="15">
      <c r="A78" s="71" t="s">
        <v>0</v>
      </c>
      <c r="B78" s="71" t="s">
        <v>93</v>
      </c>
      <c r="C78" s="71" t="s">
        <v>94</v>
      </c>
      <c r="D78" s="71" t="s">
        <v>7</v>
      </c>
      <c r="E78" s="71" t="s">
        <v>95</v>
      </c>
    </row>
    <row r="79" spans="1:5">
      <c r="A79" s="68" t="s">
        <v>117</v>
      </c>
      <c r="B79" s="55" t="s">
        <v>100</v>
      </c>
      <c r="C79" s="55" t="s">
        <v>289</v>
      </c>
      <c r="D79" s="55" t="s">
        <v>253</v>
      </c>
      <c r="E79" s="72" t="s">
        <v>290</v>
      </c>
    </row>
    <row r="80" spans="1:5">
      <c r="A80" s="68" t="s">
        <v>138</v>
      </c>
      <c r="B80" s="55" t="s">
        <v>100</v>
      </c>
      <c r="C80" s="55" t="s">
        <v>287</v>
      </c>
      <c r="D80" s="55" t="s">
        <v>291</v>
      </c>
      <c r="E80" s="72" t="s">
        <v>292</v>
      </c>
    </row>
    <row r="81" spans="1:5">
      <c r="A81" s="68" t="s">
        <v>144</v>
      </c>
      <c r="B81" s="55" t="s">
        <v>100</v>
      </c>
      <c r="C81" s="55" t="s">
        <v>293</v>
      </c>
      <c r="D81" s="55" t="s">
        <v>56</v>
      </c>
      <c r="E81" s="72" t="s">
        <v>294</v>
      </c>
    </row>
    <row r="82" spans="1:5">
      <c r="A82" s="68" t="s">
        <v>150</v>
      </c>
      <c r="B82" s="55" t="s">
        <v>100</v>
      </c>
      <c r="C82" s="55" t="s">
        <v>293</v>
      </c>
      <c r="D82" s="55" t="s">
        <v>295</v>
      </c>
      <c r="E82" s="72" t="s">
        <v>296</v>
      </c>
    </row>
    <row r="84" spans="1:5" ht="14.25">
      <c r="A84" s="69" t="s">
        <v>297</v>
      </c>
      <c r="B84" s="70"/>
    </row>
    <row r="85" spans="1:5" ht="15">
      <c r="A85" s="71" t="s">
        <v>0</v>
      </c>
      <c r="B85" s="71" t="s">
        <v>93</v>
      </c>
      <c r="C85" s="71" t="s">
        <v>94</v>
      </c>
      <c r="D85" s="71" t="s">
        <v>7</v>
      </c>
      <c r="E85" s="71" t="s">
        <v>95</v>
      </c>
    </row>
    <row r="86" spans="1:5">
      <c r="A86" s="68" t="s">
        <v>156</v>
      </c>
      <c r="B86" s="55" t="s">
        <v>298</v>
      </c>
      <c r="C86" s="55" t="s">
        <v>97</v>
      </c>
      <c r="D86" s="55" t="s">
        <v>56</v>
      </c>
      <c r="E86" s="72" t="s">
        <v>299</v>
      </c>
    </row>
    <row r="89" spans="1:5" ht="15">
      <c r="A89" s="67" t="s">
        <v>91</v>
      </c>
      <c r="B89" s="67"/>
    </row>
    <row r="90" spans="1:5" ht="14.25">
      <c r="A90" s="69" t="s">
        <v>285</v>
      </c>
      <c r="B90" s="70"/>
    </row>
    <row r="91" spans="1:5" ht="15">
      <c r="A91" s="71" t="s">
        <v>0</v>
      </c>
      <c r="B91" s="71" t="s">
        <v>93</v>
      </c>
      <c r="C91" s="71" t="s">
        <v>94</v>
      </c>
      <c r="D91" s="71" t="s">
        <v>7</v>
      </c>
      <c r="E91" s="71" t="s">
        <v>95</v>
      </c>
    </row>
    <row r="92" spans="1:5">
      <c r="A92" s="68" t="s">
        <v>171</v>
      </c>
      <c r="B92" s="55" t="s">
        <v>286</v>
      </c>
      <c r="C92" s="55" t="s">
        <v>293</v>
      </c>
      <c r="D92" s="55" t="s">
        <v>300</v>
      </c>
      <c r="E92" s="72" t="s">
        <v>301</v>
      </c>
    </row>
    <row r="93" spans="1:5">
      <c r="A93" s="68" t="s">
        <v>166</v>
      </c>
      <c r="B93" s="55" t="s">
        <v>302</v>
      </c>
      <c r="C93" s="55" t="s">
        <v>293</v>
      </c>
      <c r="D93" s="55" t="s">
        <v>241</v>
      </c>
      <c r="E93" s="72" t="s">
        <v>303</v>
      </c>
    </row>
    <row r="95" spans="1:5" ht="14.25">
      <c r="A95" s="69" t="s">
        <v>92</v>
      </c>
      <c r="B95" s="70"/>
    </row>
    <row r="96" spans="1:5" ht="15">
      <c r="A96" s="71" t="s">
        <v>0</v>
      </c>
      <c r="B96" s="71" t="s">
        <v>93</v>
      </c>
      <c r="C96" s="71" t="s">
        <v>94</v>
      </c>
      <c r="D96" s="71" t="s">
        <v>7</v>
      </c>
      <c r="E96" s="71" t="s">
        <v>95</v>
      </c>
    </row>
    <row r="97" spans="1:5">
      <c r="A97" s="68" t="s">
        <v>272</v>
      </c>
      <c r="B97" s="55" t="s">
        <v>96</v>
      </c>
      <c r="C97" s="55" t="s">
        <v>304</v>
      </c>
      <c r="D97" s="55" t="s">
        <v>109</v>
      </c>
      <c r="E97" s="72" t="s">
        <v>305</v>
      </c>
    </row>
    <row r="98" spans="1:5">
      <c r="A98" s="68" t="s">
        <v>200</v>
      </c>
      <c r="B98" s="55" t="s">
        <v>96</v>
      </c>
      <c r="C98" s="55" t="s">
        <v>97</v>
      </c>
      <c r="D98" s="55" t="s">
        <v>306</v>
      </c>
      <c r="E98" s="72" t="s">
        <v>307</v>
      </c>
    </row>
    <row r="100" spans="1:5" ht="14.25">
      <c r="A100" s="69" t="s">
        <v>100</v>
      </c>
      <c r="B100" s="70"/>
    </row>
    <row r="101" spans="1:5" ht="15">
      <c r="A101" s="71" t="s">
        <v>0</v>
      </c>
      <c r="B101" s="71" t="s">
        <v>93</v>
      </c>
      <c r="C101" s="71" t="s">
        <v>94</v>
      </c>
      <c r="D101" s="71" t="s">
        <v>7</v>
      </c>
      <c r="E101" s="71" t="s">
        <v>95</v>
      </c>
    </row>
    <row r="102" spans="1:5">
      <c r="A102" s="68" t="s">
        <v>174</v>
      </c>
      <c r="B102" s="55" t="s">
        <v>100</v>
      </c>
      <c r="C102" s="55" t="s">
        <v>293</v>
      </c>
      <c r="D102" s="55" t="s">
        <v>308</v>
      </c>
      <c r="E102" s="72" t="s">
        <v>309</v>
      </c>
    </row>
    <row r="103" spans="1:5">
      <c r="A103" s="68" t="s">
        <v>190</v>
      </c>
      <c r="B103" s="55" t="s">
        <v>100</v>
      </c>
      <c r="C103" s="55" t="s">
        <v>310</v>
      </c>
      <c r="D103" s="55" t="s">
        <v>311</v>
      </c>
      <c r="E103" s="72" t="s">
        <v>312</v>
      </c>
    </row>
    <row r="104" spans="1:5">
      <c r="A104" s="68" t="s">
        <v>275</v>
      </c>
      <c r="B104" s="55" t="s">
        <v>100</v>
      </c>
      <c r="C104" s="55" t="s">
        <v>304</v>
      </c>
      <c r="D104" s="55" t="s">
        <v>313</v>
      </c>
      <c r="E104" s="72" t="s">
        <v>314</v>
      </c>
    </row>
    <row r="105" spans="1:5">
      <c r="A105" s="68" t="s">
        <v>183</v>
      </c>
      <c r="B105" s="55" t="s">
        <v>100</v>
      </c>
      <c r="C105" s="55" t="s">
        <v>293</v>
      </c>
      <c r="D105" s="55" t="s">
        <v>315</v>
      </c>
      <c r="E105" s="72" t="s">
        <v>316</v>
      </c>
    </row>
    <row r="106" spans="1:5">
      <c r="A106" s="68" t="s">
        <v>250</v>
      </c>
      <c r="B106" s="55" t="s">
        <v>100</v>
      </c>
      <c r="C106" s="55" t="s">
        <v>101</v>
      </c>
      <c r="D106" s="55" t="s">
        <v>317</v>
      </c>
      <c r="E106" s="72" t="s">
        <v>318</v>
      </c>
    </row>
    <row r="107" spans="1:5">
      <c r="A107" s="68" t="s">
        <v>231</v>
      </c>
      <c r="B107" s="55" t="s">
        <v>100</v>
      </c>
      <c r="C107" s="55" t="s">
        <v>104</v>
      </c>
      <c r="D107" s="55" t="s">
        <v>319</v>
      </c>
      <c r="E107" s="72" t="s">
        <v>320</v>
      </c>
    </row>
    <row r="108" spans="1:5">
      <c r="A108" s="68" t="s">
        <v>237</v>
      </c>
      <c r="B108" s="55" t="s">
        <v>100</v>
      </c>
      <c r="C108" s="55" t="s">
        <v>104</v>
      </c>
      <c r="D108" s="55" t="s">
        <v>321</v>
      </c>
      <c r="E108" s="72" t="s">
        <v>322</v>
      </c>
    </row>
    <row r="109" spans="1:5">
      <c r="A109" s="68" t="s">
        <v>203</v>
      </c>
      <c r="B109" s="55" t="s">
        <v>100</v>
      </c>
      <c r="C109" s="55" t="s">
        <v>97</v>
      </c>
      <c r="D109" s="55" t="s">
        <v>109</v>
      </c>
      <c r="E109" s="72" t="s">
        <v>323</v>
      </c>
    </row>
    <row r="110" spans="1:5">
      <c r="A110" s="68" t="s">
        <v>197</v>
      </c>
      <c r="B110" s="55" t="s">
        <v>100</v>
      </c>
      <c r="C110" s="55" t="s">
        <v>310</v>
      </c>
      <c r="D110" s="55" t="s">
        <v>324</v>
      </c>
      <c r="E110" s="72" t="s">
        <v>325</v>
      </c>
    </row>
    <row r="111" spans="1:5">
      <c r="A111" s="68" t="s">
        <v>208</v>
      </c>
      <c r="B111" s="55" t="s">
        <v>100</v>
      </c>
      <c r="C111" s="55" t="s">
        <v>97</v>
      </c>
      <c r="D111" s="55" t="s">
        <v>112</v>
      </c>
      <c r="E111" s="72" t="s">
        <v>326</v>
      </c>
    </row>
    <row r="112" spans="1:5">
      <c r="A112" s="68" t="s">
        <v>255</v>
      </c>
      <c r="B112" s="55" t="s">
        <v>100</v>
      </c>
      <c r="C112" s="55" t="s">
        <v>101</v>
      </c>
      <c r="D112" s="55" t="s">
        <v>327</v>
      </c>
      <c r="E112" s="72" t="s">
        <v>328</v>
      </c>
    </row>
    <row r="113" spans="1:5">
      <c r="A113" s="68" t="s">
        <v>242</v>
      </c>
      <c r="B113" s="55" t="s">
        <v>100</v>
      </c>
      <c r="C113" s="55" t="s">
        <v>104</v>
      </c>
      <c r="D113" s="55" t="s">
        <v>311</v>
      </c>
      <c r="E113" s="72" t="s">
        <v>329</v>
      </c>
    </row>
    <row r="114" spans="1:5">
      <c r="A114" s="68" t="s">
        <v>212</v>
      </c>
      <c r="B114" s="55" t="s">
        <v>100</v>
      </c>
      <c r="C114" s="55" t="s">
        <v>97</v>
      </c>
      <c r="D114" s="55" t="s">
        <v>330</v>
      </c>
      <c r="E114" s="72" t="s">
        <v>331</v>
      </c>
    </row>
    <row r="115" spans="1:5">
      <c r="A115" s="68" t="s">
        <v>279</v>
      </c>
      <c r="B115" s="55" t="s">
        <v>100</v>
      </c>
      <c r="C115" s="55" t="s">
        <v>304</v>
      </c>
      <c r="D115" s="55" t="s">
        <v>332</v>
      </c>
      <c r="E115" s="72" t="s">
        <v>333</v>
      </c>
    </row>
    <row r="116" spans="1:5">
      <c r="A116" s="68" t="s">
        <v>223</v>
      </c>
      <c r="B116" s="55" t="s">
        <v>100</v>
      </c>
      <c r="C116" s="55" t="s">
        <v>111</v>
      </c>
      <c r="D116" s="55" t="s">
        <v>334</v>
      </c>
      <c r="E116" s="72" t="s">
        <v>335</v>
      </c>
    </row>
    <row r="117" spans="1:5">
      <c r="A117" s="68" t="s">
        <v>161</v>
      </c>
      <c r="B117" s="55" t="s">
        <v>100</v>
      </c>
      <c r="C117" s="55" t="s">
        <v>287</v>
      </c>
      <c r="D117" s="55" t="s">
        <v>336</v>
      </c>
      <c r="E117" s="72" t="s">
        <v>337</v>
      </c>
    </row>
    <row r="118" spans="1:5">
      <c r="A118" s="68" t="s">
        <v>228</v>
      </c>
      <c r="B118" s="55" t="s">
        <v>100</v>
      </c>
      <c r="C118" s="55" t="s">
        <v>111</v>
      </c>
      <c r="D118" s="55" t="s">
        <v>338</v>
      </c>
      <c r="E118" s="72" t="s">
        <v>339</v>
      </c>
    </row>
    <row r="120" spans="1:5" ht="14.25">
      <c r="A120" s="69" t="s">
        <v>297</v>
      </c>
      <c r="B120" s="70"/>
    </row>
    <row r="121" spans="1:5" ht="15">
      <c r="A121" s="71" t="s">
        <v>0</v>
      </c>
      <c r="B121" s="71" t="s">
        <v>93</v>
      </c>
      <c r="C121" s="71" t="s">
        <v>94</v>
      </c>
      <c r="D121" s="71" t="s">
        <v>7</v>
      </c>
      <c r="E121" s="71" t="s">
        <v>95</v>
      </c>
    </row>
    <row r="122" spans="1:5">
      <c r="A122" s="68" t="s">
        <v>216</v>
      </c>
      <c r="B122" s="55" t="s">
        <v>340</v>
      </c>
      <c r="C122" s="55" t="s">
        <v>97</v>
      </c>
      <c r="D122" s="55" t="s">
        <v>341</v>
      </c>
      <c r="E122" s="72" t="s">
        <v>342</v>
      </c>
    </row>
    <row r="123" spans="1:5">
      <c r="A123" s="68" t="s">
        <v>261</v>
      </c>
      <c r="B123" s="55" t="s">
        <v>343</v>
      </c>
      <c r="C123" s="55" t="s">
        <v>101</v>
      </c>
      <c r="D123" s="55" t="s">
        <v>344</v>
      </c>
      <c r="E123" s="72" t="s">
        <v>345</v>
      </c>
    </row>
    <row r="124" spans="1:5">
      <c r="A124" s="68" t="s">
        <v>279</v>
      </c>
      <c r="B124" s="55" t="s">
        <v>343</v>
      </c>
      <c r="C124" s="55" t="s">
        <v>304</v>
      </c>
      <c r="D124" s="55" t="s">
        <v>332</v>
      </c>
      <c r="E124" s="72" t="s">
        <v>333</v>
      </c>
    </row>
    <row r="125" spans="1:5">
      <c r="A125" s="68" t="s">
        <v>246</v>
      </c>
      <c r="B125" s="55" t="s">
        <v>343</v>
      </c>
      <c r="C125" s="55" t="s">
        <v>104</v>
      </c>
      <c r="D125" s="55" t="s">
        <v>346</v>
      </c>
      <c r="E125" s="72" t="s">
        <v>347</v>
      </c>
    </row>
    <row r="126" spans="1:5">
      <c r="A126" s="68" t="s">
        <v>266</v>
      </c>
      <c r="B126" s="55" t="s">
        <v>298</v>
      </c>
      <c r="C126" s="55" t="s">
        <v>101</v>
      </c>
      <c r="D126" s="55" t="s">
        <v>348</v>
      </c>
      <c r="E126" s="72" t="s">
        <v>349</v>
      </c>
    </row>
  </sheetData>
  <mergeCells count="25">
    <mergeCell ref="A44:T44"/>
    <mergeCell ref="A50:T50"/>
    <mergeCell ref="A57:T57"/>
    <mergeCell ref="A16:T16"/>
    <mergeCell ref="A19:T19"/>
    <mergeCell ref="A22:T22"/>
    <mergeCell ref="A28:T28"/>
    <mergeCell ref="A32:T32"/>
    <mergeCell ref="A39:T39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workbookViewId="0">
      <selection sqref="A1:M2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2.42578125" style="55" bestFit="1" customWidth="1"/>
    <col min="7" max="10" width="5.5703125" style="55" bestFit="1" customWidth="1"/>
    <col min="11" max="11" width="6.7109375" style="55" bestFit="1" customWidth="1"/>
    <col min="12" max="12" width="8.5703125" style="55" bestFit="1" customWidth="1"/>
    <col min="13" max="13" width="15.7109375" style="55" bestFit="1" customWidth="1"/>
  </cols>
  <sheetData>
    <row r="1" spans="1:13" s="1" customFormat="1" ht="15" customHeight="1">
      <c r="A1" s="27" t="s">
        <v>2347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6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759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1106</v>
      </c>
      <c r="B6" s="56" t="s">
        <v>1107</v>
      </c>
      <c r="C6" s="56" t="s">
        <v>762</v>
      </c>
      <c r="D6" s="56" t="str">
        <f>"1,2746"</f>
        <v>1,2746</v>
      </c>
      <c r="E6" s="56" t="s">
        <v>17</v>
      </c>
      <c r="F6" s="56" t="s">
        <v>1109</v>
      </c>
      <c r="G6" s="56" t="s">
        <v>22</v>
      </c>
      <c r="H6" s="56" t="s">
        <v>149</v>
      </c>
      <c r="I6" s="57" t="s">
        <v>126</v>
      </c>
      <c r="J6" s="57"/>
      <c r="K6" s="56">
        <v>120</v>
      </c>
      <c r="L6" s="56" t="str">
        <f>"152,9520"</f>
        <v>152,9520</v>
      </c>
      <c r="M6" s="56"/>
    </row>
    <row r="8" spans="1:13" ht="15">
      <c r="A8" s="58" t="s">
        <v>350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1122</v>
      </c>
      <c r="B9" s="56" t="s">
        <v>1123</v>
      </c>
      <c r="C9" s="56" t="s">
        <v>1124</v>
      </c>
      <c r="D9" s="56" t="str">
        <f>"1,1076"</f>
        <v>1,1076</v>
      </c>
      <c r="E9" s="56" t="s">
        <v>17</v>
      </c>
      <c r="F9" s="56" t="s">
        <v>768</v>
      </c>
      <c r="G9" s="56" t="s">
        <v>265</v>
      </c>
      <c r="H9" s="56" t="s">
        <v>194</v>
      </c>
      <c r="I9" s="56" t="s">
        <v>178</v>
      </c>
      <c r="J9" s="57"/>
      <c r="K9" s="56">
        <v>162.5</v>
      </c>
      <c r="L9" s="56" t="str">
        <f>"179,9850"</f>
        <v>179,9850</v>
      </c>
      <c r="M9" s="56"/>
    </row>
    <row r="11" spans="1:13" ht="15">
      <c r="A11" s="58" t="s">
        <v>116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>
      <c r="A12" s="56" t="s">
        <v>1126</v>
      </c>
      <c r="B12" s="56" t="s">
        <v>1127</v>
      </c>
      <c r="C12" s="56" t="s">
        <v>2308</v>
      </c>
      <c r="D12" s="56" t="str">
        <f>"1,1025"</f>
        <v>1,1025</v>
      </c>
      <c r="E12" s="56" t="s">
        <v>17</v>
      </c>
      <c r="F12" s="56" t="s">
        <v>72</v>
      </c>
      <c r="G12" s="56" t="s">
        <v>126</v>
      </c>
      <c r="H12" s="56" t="s">
        <v>24</v>
      </c>
      <c r="I12" s="57" t="s">
        <v>32</v>
      </c>
      <c r="J12" s="57"/>
      <c r="K12" s="56">
        <v>135</v>
      </c>
      <c r="L12" s="56" t="str">
        <f>"148,8375"</f>
        <v>148,8375</v>
      </c>
      <c r="M12" s="56" t="s">
        <v>1129</v>
      </c>
    </row>
    <row r="14" spans="1:13" ht="15">
      <c r="A14" s="58" t="s">
        <v>143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>
      <c r="A15" s="56" t="s">
        <v>1855</v>
      </c>
      <c r="B15" s="56" t="s">
        <v>1856</v>
      </c>
      <c r="C15" s="56" t="s">
        <v>2309</v>
      </c>
      <c r="D15" s="56" t="str">
        <f>"0,9300"</f>
        <v>0,9300</v>
      </c>
      <c r="E15" s="56" t="s">
        <v>17</v>
      </c>
      <c r="F15" s="56" t="s">
        <v>768</v>
      </c>
      <c r="G15" s="56" t="s">
        <v>126</v>
      </c>
      <c r="H15" s="56" t="s">
        <v>24</v>
      </c>
      <c r="I15" s="56" t="s">
        <v>19</v>
      </c>
      <c r="J15" s="57"/>
      <c r="K15" s="56">
        <v>145</v>
      </c>
      <c r="L15" s="56" t="str">
        <f>"134,8500"</f>
        <v>134,8500</v>
      </c>
      <c r="M15" s="56" t="s">
        <v>1858</v>
      </c>
    </row>
    <row r="17" spans="1:13" ht="15">
      <c r="A17" s="58" t="s">
        <v>127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>
      <c r="A18" s="56" t="s">
        <v>1140</v>
      </c>
      <c r="B18" s="56" t="s">
        <v>1141</v>
      </c>
      <c r="C18" s="56" t="s">
        <v>2104</v>
      </c>
      <c r="D18" s="56" t="str">
        <f>"0,8411"</f>
        <v>0,8411</v>
      </c>
      <c r="E18" s="56" t="s">
        <v>17</v>
      </c>
      <c r="F18" s="56" t="s">
        <v>392</v>
      </c>
      <c r="G18" s="56" t="s">
        <v>20</v>
      </c>
      <c r="H18" s="56" t="s">
        <v>43</v>
      </c>
      <c r="I18" s="56" t="s">
        <v>21</v>
      </c>
      <c r="J18" s="57" t="s">
        <v>67</v>
      </c>
      <c r="K18" s="56">
        <v>180</v>
      </c>
      <c r="L18" s="56" t="str">
        <f>"151,3890"</f>
        <v>151,3890</v>
      </c>
      <c r="M18" s="56"/>
    </row>
    <row r="20" spans="1:13" ht="15">
      <c r="A20" s="58" t="s">
        <v>143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3">
      <c r="A21" s="59" t="s">
        <v>171</v>
      </c>
      <c r="B21" s="59" t="s">
        <v>172</v>
      </c>
      <c r="C21" s="59" t="s">
        <v>362</v>
      </c>
      <c r="D21" s="59" t="str">
        <f>"0,7484"</f>
        <v>0,7484</v>
      </c>
      <c r="E21" s="59" t="s">
        <v>269</v>
      </c>
      <c r="F21" s="59" t="s">
        <v>164</v>
      </c>
      <c r="G21" s="59" t="s">
        <v>21</v>
      </c>
      <c r="H21" s="59" t="s">
        <v>254</v>
      </c>
      <c r="I21" s="60" t="s">
        <v>30</v>
      </c>
      <c r="J21" s="60"/>
      <c r="K21" s="59">
        <v>192.5</v>
      </c>
      <c r="L21" s="59" t="str">
        <f>"144,0670"</f>
        <v>144,0670</v>
      </c>
      <c r="M21" s="59"/>
    </row>
    <row r="22" spans="1:13">
      <c r="A22" s="61" t="s">
        <v>2310</v>
      </c>
      <c r="B22" s="61" t="s">
        <v>1386</v>
      </c>
      <c r="C22" s="61" t="s">
        <v>176</v>
      </c>
      <c r="D22" s="61" t="str">
        <f>"0,7503"</f>
        <v>0,7503</v>
      </c>
      <c r="E22" s="61" t="s">
        <v>17</v>
      </c>
      <c r="F22" s="61" t="s">
        <v>153</v>
      </c>
      <c r="G22" s="62" t="s">
        <v>83</v>
      </c>
      <c r="H22" s="62" t="s">
        <v>83</v>
      </c>
      <c r="I22" s="62" t="s">
        <v>83</v>
      </c>
      <c r="J22" s="62"/>
      <c r="K22" s="61">
        <v>0</v>
      </c>
      <c r="L22" s="61" t="str">
        <f>"0,0000"</f>
        <v>0,0000</v>
      </c>
      <c r="M22" s="61"/>
    </row>
    <row r="24" spans="1:13" ht="15">
      <c r="A24" s="58" t="s">
        <v>189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3">
      <c r="A25" s="59" t="s">
        <v>892</v>
      </c>
      <c r="B25" s="59" t="s">
        <v>1151</v>
      </c>
      <c r="C25" s="59" t="s">
        <v>192</v>
      </c>
      <c r="D25" s="59" t="str">
        <f>"0,6885"</f>
        <v>0,6885</v>
      </c>
      <c r="E25" s="59" t="s">
        <v>17</v>
      </c>
      <c r="F25" s="59" t="s">
        <v>72</v>
      </c>
      <c r="G25" s="59" t="s">
        <v>61</v>
      </c>
      <c r="H25" s="60" t="s">
        <v>35</v>
      </c>
      <c r="I25" s="60" t="s">
        <v>35</v>
      </c>
      <c r="J25" s="60"/>
      <c r="K25" s="59">
        <v>210</v>
      </c>
      <c r="L25" s="59" t="str">
        <f>"144,5955"</f>
        <v>144,5955</v>
      </c>
      <c r="M25" s="59"/>
    </row>
    <row r="26" spans="1:13">
      <c r="A26" s="61" t="s">
        <v>2145</v>
      </c>
      <c r="B26" s="61" t="s">
        <v>2146</v>
      </c>
      <c r="C26" s="61" t="s">
        <v>2147</v>
      </c>
      <c r="D26" s="61" t="str">
        <f>"1,2124"</f>
        <v>1,2124</v>
      </c>
      <c r="E26" s="61" t="s">
        <v>17</v>
      </c>
      <c r="F26" s="61" t="s">
        <v>18</v>
      </c>
      <c r="G26" s="61" t="s">
        <v>33</v>
      </c>
      <c r="H26" s="61" t="s">
        <v>178</v>
      </c>
      <c r="I26" s="61" t="s">
        <v>42</v>
      </c>
      <c r="J26" s="62"/>
      <c r="K26" s="61">
        <v>165</v>
      </c>
      <c r="L26" s="61" t="str">
        <f>"200,0495"</f>
        <v>200,0495</v>
      </c>
      <c r="M26" s="61"/>
    </row>
    <row r="28" spans="1:13" ht="15">
      <c r="A28" s="58" t="s">
        <v>13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3">
      <c r="A29" s="59" t="s">
        <v>2311</v>
      </c>
      <c r="B29" s="59" t="s">
        <v>2312</v>
      </c>
      <c r="C29" s="59" t="s">
        <v>509</v>
      </c>
      <c r="D29" s="59" t="str">
        <f>"0,6589"</f>
        <v>0,6589</v>
      </c>
      <c r="E29" s="59" t="s">
        <v>17</v>
      </c>
      <c r="F29" s="59" t="s">
        <v>1324</v>
      </c>
      <c r="G29" s="59" t="s">
        <v>44</v>
      </c>
      <c r="H29" s="59" t="s">
        <v>52</v>
      </c>
      <c r="I29" s="60"/>
      <c r="J29" s="60"/>
      <c r="K29" s="59">
        <v>230</v>
      </c>
      <c r="L29" s="59" t="str">
        <f>"151,5585"</f>
        <v>151,5585</v>
      </c>
      <c r="M29" s="59"/>
    </row>
    <row r="30" spans="1:13">
      <c r="A30" s="61" t="s">
        <v>2313</v>
      </c>
      <c r="B30" s="61" t="s">
        <v>2314</v>
      </c>
      <c r="C30" s="61" t="s">
        <v>373</v>
      </c>
      <c r="D30" s="61" t="str">
        <f>"0,9058"</f>
        <v>0,9058</v>
      </c>
      <c r="E30" s="61" t="s">
        <v>17</v>
      </c>
      <c r="F30" s="61" t="s">
        <v>153</v>
      </c>
      <c r="G30" s="61" t="s">
        <v>21</v>
      </c>
      <c r="H30" s="61" t="s">
        <v>831</v>
      </c>
      <c r="I30" s="62" t="s">
        <v>565</v>
      </c>
      <c r="J30" s="62"/>
      <c r="K30" s="61">
        <v>202.5</v>
      </c>
      <c r="L30" s="61" t="str">
        <f>"183,4241"</f>
        <v>183,4241</v>
      </c>
      <c r="M30" s="61"/>
    </row>
    <row r="32" spans="1:13" ht="15">
      <c r="A32" s="58" t="s">
        <v>25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3">
      <c r="A33" s="56" t="s">
        <v>1158</v>
      </c>
      <c r="B33" s="56" t="s">
        <v>1159</v>
      </c>
      <c r="C33" s="56" t="s">
        <v>922</v>
      </c>
      <c r="D33" s="56" t="str">
        <f>"0,6165"</f>
        <v>0,6165</v>
      </c>
      <c r="E33" s="56" t="s">
        <v>269</v>
      </c>
      <c r="F33" s="56" t="s">
        <v>164</v>
      </c>
      <c r="G33" s="56" t="s">
        <v>36</v>
      </c>
      <c r="H33" s="57"/>
      <c r="I33" s="57"/>
      <c r="J33" s="57"/>
      <c r="K33" s="56">
        <v>240</v>
      </c>
      <c r="L33" s="56" t="str">
        <f>"147,9480"</f>
        <v>147,9480</v>
      </c>
      <c r="M33" s="56"/>
    </row>
    <row r="35" spans="1:13" ht="15">
      <c r="A35" s="58" t="s">
        <v>47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3">
      <c r="A36" s="56" t="s">
        <v>957</v>
      </c>
      <c r="B36" s="56" t="s">
        <v>958</v>
      </c>
      <c r="C36" s="56" t="s">
        <v>2196</v>
      </c>
      <c r="D36" s="56" t="str">
        <f>"0,5908"</f>
        <v>0,5908</v>
      </c>
      <c r="E36" s="56" t="s">
        <v>269</v>
      </c>
      <c r="F36" s="56" t="s">
        <v>164</v>
      </c>
      <c r="G36" s="56" t="s">
        <v>207</v>
      </c>
      <c r="H36" s="57" t="s">
        <v>56</v>
      </c>
      <c r="I36" s="57"/>
      <c r="J36" s="57"/>
      <c r="K36" s="56">
        <v>260</v>
      </c>
      <c r="L36" s="56" t="str">
        <f>"153,6080"</f>
        <v>153,6080</v>
      </c>
      <c r="M36" s="56"/>
    </row>
    <row r="38" spans="1:13" ht="15">
      <c r="A38" s="58" t="s">
        <v>68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3">
      <c r="A39" s="59" t="s">
        <v>1171</v>
      </c>
      <c r="B39" s="59" t="s">
        <v>1172</v>
      </c>
      <c r="C39" s="59" t="s">
        <v>2315</v>
      </c>
      <c r="D39" s="59" t="str">
        <f>"0,5782"</f>
        <v>0,5782</v>
      </c>
      <c r="E39" s="59" t="s">
        <v>17</v>
      </c>
      <c r="F39" s="59" t="s">
        <v>1109</v>
      </c>
      <c r="G39" s="59" t="s">
        <v>73</v>
      </c>
      <c r="H39" s="59" t="s">
        <v>395</v>
      </c>
      <c r="I39" s="60" t="s">
        <v>74</v>
      </c>
      <c r="J39" s="60"/>
      <c r="K39" s="59">
        <v>315</v>
      </c>
      <c r="L39" s="59" t="str">
        <f>"182,1487"</f>
        <v>182,1487</v>
      </c>
      <c r="M39" s="59"/>
    </row>
    <row r="40" spans="1:13">
      <c r="A40" s="63" t="s">
        <v>1180</v>
      </c>
      <c r="B40" s="63" t="s">
        <v>1181</v>
      </c>
      <c r="C40" s="63" t="s">
        <v>2043</v>
      </c>
      <c r="D40" s="63" t="str">
        <f>"0,5625"</f>
        <v>0,5625</v>
      </c>
      <c r="E40" s="63" t="s">
        <v>81</v>
      </c>
      <c r="F40" s="63" t="s">
        <v>82</v>
      </c>
      <c r="G40" s="63" t="s">
        <v>55</v>
      </c>
      <c r="H40" s="63" t="s">
        <v>946</v>
      </c>
      <c r="I40" s="64" t="s">
        <v>241</v>
      </c>
      <c r="J40" s="64"/>
      <c r="K40" s="63">
        <v>277.5</v>
      </c>
      <c r="L40" s="63" t="str">
        <f>"156,0938"</f>
        <v>156,0938</v>
      </c>
      <c r="M40" s="63"/>
    </row>
    <row r="41" spans="1:13">
      <c r="A41" s="63" t="s">
        <v>2204</v>
      </c>
      <c r="B41" s="63" t="s">
        <v>2205</v>
      </c>
      <c r="C41" s="63" t="s">
        <v>575</v>
      </c>
      <c r="D41" s="63" t="str">
        <f>"0,5688"</f>
        <v>0,5688</v>
      </c>
      <c r="E41" s="63" t="s">
        <v>17</v>
      </c>
      <c r="F41" s="63" t="s">
        <v>923</v>
      </c>
      <c r="G41" s="63" t="s">
        <v>36</v>
      </c>
      <c r="H41" s="63" t="s">
        <v>207</v>
      </c>
      <c r="I41" s="63" t="s">
        <v>55</v>
      </c>
      <c r="J41" s="64"/>
      <c r="K41" s="63">
        <v>270</v>
      </c>
      <c r="L41" s="63" t="str">
        <f>"153,5895"</f>
        <v>153,5895</v>
      </c>
      <c r="M41" s="63"/>
    </row>
    <row r="42" spans="1:13">
      <c r="A42" s="63" t="s">
        <v>1634</v>
      </c>
      <c r="B42" s="63" t="s">
        <v>1635</v>
      </c>
      <c r="C42" s="63" t="s">
        <v>1622</v>
      </c>
      <c r="D42" s="63" t="str">
        <f>"0,5681"</f>
        <v>0,5681</v>
      </c>
      <c r="E42" s="63" t="s">
        <v>17</v>
      </c>
      <c r="F42" s="63" t="s">
        <v>72</v>
      </c>
      <c r="G42" s="63" t="s">
        <v>378</v>
      </c>
      <c r="H42" s="64" t="s">
        <v>52</v>
      </c>
      <c r="I42" s="64" t="s">
        <v>52</v>
      </c>
      <c r="J42" s="64"/>
      <c r="K42" s="63">
        <v>212.5</v>
      </c>
      <c r="L42" s="63" t="str">
        <f>"120,7212"</f>
        <v>120,7212</v>
      </c>
      <c r="M42" s="63"/>
    </row>
    <row r="43" spans="1:13">
      <c r="A43" s="61" t="s">
        <v>2204</v>
      </c>
      <c r="B43" s="61" t="s">
        <v>2207</v>
      </c>
      <c r="C43" s="61" t="s">
        <v>575</v>
      </c>
      <c r="D43" s="61" t="str">
        <f>"0,6240"</f>
        <v>0,6240</v>
      </c>
      <c r="E43" s="61" t="s">
        <v>17</v>
      </c>
      <c r="F43" s="61" t="s">
        <v>923</v>
      </c>
      <c r="G43" s="61" t="s">
        <v>36</v>
      </c>
      <c r="H43" s="61" t="s">
        <v>207</v>
      </c>
      <c r="I43" s="61" t="s">
        <v>55</v>
      </c>
      <c r="J43" s="62"/>
      <c r="K43" s="61">
        <v>270</v>
      </c>
      <c r="L43" s="61" t="str">
        <f>"168,4877"</f>
        <v>168,4877</v>
      </c>
      <c r="M43" s="61"/>
    </row>
    <row r="45" spans="1:13" ht="15">
      <c r="A45" s="58" t="s">
        <v>271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3">
      <c r="A46" s="59" t="s">
        <v>272</v>
      </c>
      <c r="B46" s="59" t="s">
        <v>273</v>
      </c>
      <c r="C46" s="59" t="s">
        <v>2316</v>
      </c>
      <c r="D46" s="59" t="str">
        <f>"0,5586"</f>
        <v>0,5586</v>
      </c>
      <c r="E46" s="59" t="s">
        <v>269</v>
      </c>
      <c r="F46" s="59" t="s">
        <v>164</v>
      </c>
      <c r="G46" s="59" t="s">
        <v>52</v>
      </c>
      <c r="H46" s="60" t="s">
        <v>195</v>
      </c>
      <c r="I46" s="60" t="s">
        <v>66</v>
      </c>
      <c r="J46" s="60"/>
      <c r="K46" s="59">
        <v>230</v>
      </c>
      <c r="L46" s="59" t="str">
        <f>"128,4665"</f>
        <v>128,4665</v>
      </c>
      <c r="M46" s="59"/>
    </row>
    <row r="47" spans="1:13">
      <c r="A47" s="61" t="s">
        <v>1186</v>
      </c>
      <c r="B47" s="61" t="s">
        <v>1187</v>
      </c>
      <c r="C47" s="61" t="s">
        <v>2317</v>
      </c>
      <c r="D47" s="61" t="str">
        <f>"0,5550"</f>
        <v>0,5550</v>
      </c>
      <c r="E47" s="61" t="s">
        <v>269</v>
      </c>
      <c r="F47" s="61" t="s">
        <v>164</v>
      </c>
      <c r="G47" s="61" t="s">
        <v>1170</v>
      </c>
      <c r="H47" s="61" t="s">
        <v>752</v>
      </c>
      <c r="I47" s="61" t="s">
        <v>253</v>
      </c>
      <c r="J47" s="62"/>
      <c r="K47" s="61">
        <v>285</v>
      </c>
      <c r="L47" s="61" t="str">
        <f>"158,1750"</f>
        <v>158,1750</v>
      </c>
      <c r="M47" s="61"/>
    </row>
    <row r="49" spans="1:5" ht="15">
      <c r="E49" s="65" t="s">
        <v>84</v>
      </c>
    </row>
    <row r="50" spans="1:5" ht="15">
      <c r="E50" s="65" t="s">
        <v>85</v>
      </c>
    </row>
    <row r="51" spans="1:5" ht="15">
      <c r="E51" s="65" t="s">
        <v>86</v>
      </c>
    </row>
    <row r="52" spans="1:5">
      <c r="E52" s="55" t="s">
        <v>87</v>
      </c>
    </row>
    <row r="53" spans="1:5">
      <c r="E53" s="55" t="s">
        <v>88</v>
      </c>
    </row>
    <row r="54" spans="1:5">
      <c r="E54" s="55" t="s">
        <v>89</v>
      </c>
    </row>
    <row r="57" spans="1:5" ht="18">
      <c r="A57" s="66" t="s">
        <v>90</v>
      </c>
      <c r="B57" s="66"/>
    </row>
    <row r="58" spans="1:5" ht="15">
      <c r="A58" s="67" t="s">
        <v>284</v>
      </c>
      <c r="B58" s="67"/>
    </row>
    <row r="59" spans="1:5" ht="14.25">
      <c r="A59" s="69" t="s">
        <v>92</v>
      </c>
      <c r="B59" s="70"/>
    </row>
    <row r="60" spans="1:5" ht="15">
      <c r="A60" s="71" t="s">
        <v>0</v>
      </c>
      <c r="B60" s="71" t="s">
        <v>93</v>
      </c>
      <c r="C60" s="71" t="s">
        <v>94</v>
      </c>
      <c r="D60" s="71" t="s">
        <v>7</v>
      </c>
      <c r="E60" s="71" t="s">
        <v>95</v>
      </c>
    </row>
    <row r="61" spans="1:5">
      <c r="A61" s="68" t="s">
        <v>1106</v>
      </c>
      <c r="B61" s="55" t="s">
        <v>96</v>
      </c>
      <c r="C61" s="55" t="s">
        <v>1008</v>
      </c>
      <c r="D61" s="55" t="s">
        <v>149</v>
      </c>
      <c r="E61" s="72" t="s">
        <v>2318</v>
      </c>
    </row>
    <row r="63" spans="1:5" ht="14.25">
      <c r="A63" s="69" t="s">
        <v>100</v>
      </c>
      <c r="B63" s="70"/>
    </row>
    <row r="64" spans="1:5" ht="15">
      <c r="A64" s="71" t="s">
        <v>0</v>
      </c>
      <c r="B64" s="71" t="s">
        <v>93</v>
      </c>
      <c r="C64" s="71" t="s">
        <v>94</v>
      </c>
      <c r="D64" s="71" t="s">
        <v>7</v>
      </c>
      <c r="E64" s="71" t="s">
        <v>95</v>
      </c>
    </row>
    <row r="65" spans="1:5">
      <c r="A65" s="68" t="s">
        <v>1122</v>
      </c>
      <c r="B65" s="55" t="s">
        <v>100</v>
      </c>
      <c r="C65" s="55" t="s">
        <v>411</v>
      </c>
      <c r="D65" s="55" t="s">
        <v>178</v>
      </c>
      <c r="E65" s="72" t="s">
        <v>2319</v>
      </c>
    </row>
    <row r="66" spans="1:5">
      <c r="A66" s="68" t="s">
        <v>1126</v>
      </c>
      <c r="B66" s="55" t="s">
        <v>100</v>
      </c>
      <c r="C66" s="55" t="s">
        <v>289</v>
      </c>
      <c r="D66" s="55" t="s">
        <v>24</v>
      </c>
      <c r="E66" s="72" t="s">
        <v>2320</v>
      </c>
    </row>
    <row r="67" spans="1:5">
      <c r="A67" s="68" t="s">
        <v>1855</v>
      </c>
      <c r="B67" s="55" t="s">
        <v>100</v>
      </c>
      <c r="C67" s="55" t="s">
        <v>293</v>
      </c>
      <c r="D67" s="55" t="s">
        <v>19</v>
      </c>
      <c r="E67" s="72" t="s">
        <v>2321</v>
      </c>
    </row>
    <row r="70" spans="1:5" ht="15">
      <c r="A70" s="67" t="s">
        <v>91</v>
      </c>
      <c r="B70" s="67"/>
    </row>
    <row r="71" spans="1:5" ht="14.25">
      <c r="A71" s="69" t="s">
        <v>285</v>
      </c>
      <c r="B71" s="70"/>
    </row>
    <row r="72" spans="1:5" ht="15">
      <c r="A72" s="71" t="s">
        <v>0</v>
      </c>
      <c r="B72" s="71" t="s">
        <v>93</v>
      </c>
      <c r="C72" s="71" t="s">
        <v>94</v>
      </c>
      <c r="D72" s="71" t="s">
        <v>7</v>
      </c>
      <c r="E72" s="71" t="s">
        <v>95</v>
      </c>
    </row>
    <row r="73" spans="1:5">
      <c r="A73" s="68" t="s">
        <v>2311</v>
      </c>
      <c r="B73" s="55" t="s">
        <v>302</v>
      </c>
      <c r="C73" s="55" t="s">
        <v>97</v>
      </c>
      <c r="D73" s="55" t="s">
        <v>52</v>
      </c>
      <c r="E73" s="72" t="s">
        <v>2322</v>
      </c>
    </row>
    <row r="74" spans="1:5">
      <c r="A74" s="68" t="s">
        <v>1140</v>
      </c>
      <c r="B74" s="55" t="s">
        <v>416</v>
      </c>
      <c r="C74" s="55" t="s">
        <v>287</v>
      </c>
      <c r="D74" s="55" t="s">
        <v>21</v>
      </c>
      <c r="E74" s="72" t="s">
        <v>2323</v>
      </c>
    </row>
    <row r="75" spans="1:5">
      <c r="A75" s="68" t="s">
        <v>171</v>
      </c>
      <c r="B75" s="55" t="s">
        <v>286</v>
      </c>
      <c r="C75" s="55" t="s">
        <v>293</v>
      </c>
      <c r="D75" s="55" t="s">
        <v>254</v>
      </c>
      <c r="E75" s="72" t="s">
        <v>2324</v>
      </c>
    </row>
    <row r="77" spans="1:5" ht="14.25">
      <c r="A77" s="69" t="s">
        <v>92</v>
      </c>
      <c r="B77" s="70"/>
    </row>
    <row r="78" spans="1:5" ht="15">
      <c r="A78" s="71" t="s">
        <v>0</v>
      </c>
      <c r="B78" s="71" t="s">
        <v>93</v>
      </c>
      <c r="C78" s="71" t="s">
        <v>94</v>
      </c>
      <c r="D78" s="71" t="s">
        <v>7</v>
      </c>
      <c r="E78" s="71" t="s">
        <v>95</v>
      </c>
    </row>
    <row r="79" spans="1:5">
      <c r="A79" s="68" t="s">
        <v>272</v>
      </c>
      <c r="B79" s="55" t="s">
        <v>96</v>
      </c>
      <c r="C79" s="55" t="s">
        <v>304</v>
      </c>
      <c r="D79" s="55" t="s">
        <v>52</v>
      </c>
      <c r="E79" s="72" t="s">
        <v>2325</v>
      </c>
    </row>
    <row r="81" spans="1:5" ht="14.25">
      <c r="A81" s="69" t="s">
        <v>100</v>
      </c>
      <c r="B81" s="70"/>
    </row>
    <row r="82" spans="1:5" ht="15">
      <c r="A82" s="71" t="s">
        <v>0</v>
      </c>
      <c r="B82" s="71" t="s">
        <v>93</v>
      </c>
      <c r="C82" s="71" t="s">
        <v>94</v>
      </c>
      <c r="D82" s="71" t="s">
        <v>7</v>
      </c>
      <c r="E82" s="71" t="s">
        <v>95</v>
      </c>
    </row>
    <row r="83" spans="1:5">
      <c r="A83" s="68" t="s">
        <v>1171</v>
      </c>
      <c r="B83" s="55" t="s">
        <v>100</v>
      </c>
      <c r="C83" s="55" t="s">
        <v>101</v>
      </c>
      <c r="D83" s="55" t="s">
        <v>395</v>
      </c>
      <c r="E83" s="72" t="s">
        <v>2326</v>
      </c>
    </row>
    <row r="84" spans="1:5">
      <c r="A84" s="68" t="s">
        <v>1186</v>
      </c>
      <c r="B84" s="55" t="s">
        <v>100</v>
      </c>
      <c r="C84" s="55" t="s">
        <v>304</v>
      </c>
      <c r="D84" s="55" t="s">
        <v>253</v>
      </c>
      <c r="E84" s="72" t="s">
        <v>2327</v>
      </c>
    </row>
    <row r="85" spans="1:5">
      <c r="A85" s="68" t="s">
        <v>1180</v>
      </c>
      <c r="B85" s="55" t="s">
        <v>100</v>
      </c>
      <c r="C85" s="55" t="s">
        <v>101</v>
      </c>
      <c r="D85" s="55" t="s">
        <v>946</v>
      </c>
      <c r="E85" s="72" t="s">
        <v>2328</v>
      </c>
    </row>
    <row r="86" spans="1:5">
      <c r="A86" s="68" t="s">
        <v>957</v>
      </c>
      <c r="B86" s="55" t="s">
        <v>100</v>
      </c>
      <c r="C86" s="55" t="s">
        <v>104</v>
      </c>
      <c r="D86" s="55" t="s">
        <v>207</v>
      </c>
      <c r="E86" s="72" t="s">
        <v>2329</v>
      </c>
    </row>
    <row r="87" spans="1:5">
      <c r="A87" s="68" t="s">
        <v>2204</v>
      </c>
      <c r="B87" s="55" t="s">
        <v>100</v>
      </c>
      <c r="C87" s="55" t="s">
        <v>101</v>
      </c>
      <c r="D87" s="55" t="s">
        <v>55</v>
      </c>
      <c r="E87" s="72" t="s">
        <v>2330</v>
      </c>
    </row>
    <row r="88" spans="1:5">
      <c r="A88" s="68" t="s">
        <v>1158</v>
      </c>
      <c r="B88" s="55" t="s">
        <v>100</v>
      </c>
      <c r="C88" s="55" t="s">
        <v>111</v>
      </c>
      <c r="D88" s="55" t="s">
        <v>36</v>
      </c>
      <c r="E88" s="72" t="s">
        <v>2331</v>
      </c>
    </row>
    <row r="89" spans="1:5">
      <c r="A89" s="68" t="s">
        <v>892</v>
      </c>
      <c r="B89" s="55" t="s">
        <v>100</v>
      </c>
      <c r="C89" s="55" t="s">
        <v>310</v>
      </c>
      <c r="D89" s="55" t="s">
        <v>61</v>
      </c>
      <c r="E89" s="72" t="s">
        <v>2332</v>
      </c>
    </row>
    <row r="91" spans="1:5" ht="14.25">
      <c r="A91" s="69" t="s">
        <v>297</v>
      </c>
      <c r="B91" s="70"/>
    </row>
    <row r="92" spans="1:5" ht="15">
      <c r="A92" s="71" t="s">
        <v>0</v>
      </c>
      <c r="B92" s="71" t="s">
        <v>93</v>
      </c>
      <c r="C92" s="71" t="s">
        <v>94</v>
      </c>
      <c r="D92" s="71" t="s">
        <v>7</v>
      </c>
      <c r="E92" s="71" t="s">
        <v>95</v>
      </c>
    </row>
    <row r="93" spans="1:5">
      <c r="A93" s="68" t="s">
        <v>2145</v>
      </c>
      <c r="B93" s="55" t="s">
        <v>340</v>
      </c>
      <c r="C93" s="55" t="s">
        <v>310</v>
      </c>
      <c r="D93" s="55" t="s">
        <v>42</v>
      </c>
      <c r="E93" s="72" t="s">
        <v>2333</v>
      </c>
    </row>
    <row r="94" spans="1:5">
      <c r="A94" s="68" t="s">
        <v>2313</v>
      </c>
      <c r="B94" s="55" t="s">
        <v>661</v>
      </c>
      <c r="C94" s="55" t="s">
        <v>97</v>
      </c>
      <c r="D94" s="55" t="s">
        <v>831</v>
      </c>
      <c r="E94" s="72" t="s">
        <v>2334</v>
      </c>
    </row>
    <row r="95" spans="1:5">
      <c r="A95" s="68" t="s">
        <v>2204</v>
      </c>
      <c r="B95" s="55" t="s">
        <v>298</v>
      </c>
      <c r="C95" s="55" t="s">
        <v>101</v>
      </c>
      <c r="D95" s="55" t="s">
        <v>55</v>
      </c>
      <c r="E95" s="72" t="s">
        <v>2335</v>
      </c>
    </row>
    <row r="96" spans="1:5">
      <c r="A96" s="68" t="s">
        <v>1634</v>
      </c>
      <c r="B96" s="55" t="s">
        <v>343</v>
      </c>
      <c r="C96" s="55" t="s">
        <v>101</v>
      </c>
      <c r="D96" s="55" t="s">
        <v>378</v>
      </c>
      <c r="E96" s="72" t="s">
        <v>2336</v>
      </c>
    </row>
  </sheetData>
  <mergeCells count="23">
    <mergeCell ref="A35:L35"/>
    <mergeCell ref="A38:L38"/>
    <mergeCell ref="A45:L45"/>
    <mergeCell ref="A14:L14"/>
    <mergeCell ref="A17:L17"/>
    <mergeCell ref="A20:L20"/>
    <mergeCell ref="A24:L24"/>
    <mergeCell ref="A28:L28"/>
    <mergeCell ref="A32:L32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42"/>
  <sheetViews>
    <sheetView zoomScaleNormal="100" workbookViewId="0">
      <selection sqref="A1:U2"/>
    </sheetView>
  </sheetViews>
  <sheetFormatPr defaultRowHeight="12.75"/>
  <cols>
    <col min="1" max="1" width="30.28515625" style="6" bestFit="1" customWidth="1"/>
    <col min="2" max="2" width="26" style="5" bestFit="1" customWidth="1"/>
    <col min="3" max="3" width="7.7109375" style="5" bestFit="1" customWidth="1"/>
    <col min="4" max="4" width="6.85546875" style="5" bestFit="1" customWidth="1"/>
    <col min="5" max="5" width="17.28515625" style="8" bestFit="1" customWidth="1"/>
    <col min="6" max="6" width="31.140625" style="8" bestFit="1" customWidth="1"/>
    <col min="7" max="9" width="5.5703125" style="5" bestFit="1" customWidth="1"/>
    <col min="10" max="10" width="4.85546875" style="5" bestFit="1" customWidth="1"/>
    <col min="11" max="13" width="5.5703125" style="5" bestFit="1" customWidth="1"/>
    <col min="14" max="14" width="4.85546875" style="5" bestFit="1" customWidth="1"/>
    <col min="15" max="17" width="5.5703125" style="5" bestFit="1" customWidth="1"/>
    <col min="18" max="18" width="4.85546875" style="5" bestFit="1" customWidth="1"/>
    <col min="19" max="19" width="6.7109375" style="6" bestFit="1" customWidth="1"/>
    <col min="20" max="20" width="8.5703125" style="5" bestFit="1" customWidth="1"/>
    <col min="21" max="21" width="7.42578125" style="8" bestFit="1" customWidth="1"/>
    <col min="22" max="16384" width="9.140625" style="1"/>
  </cols>
  <sheetData>
    <row r="1" spans="1:21" ht="15" customHeight="1">
      <c r="A1" s="27" t="s">
        <v>2363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4</v>
      </c>
      <c r="H3" s="10"/>
      <c r="I3" s="10"/>
      <c r="J3" s="11"/>
      <c r="K3" s="9" t="s">
        <v>5</v>
      </c>
      <c r="L3" s="10"/>
      <c r="M3" s="10"/>
      <c r="N3" s="11"/>
      <c r="O3" s="9" t="s">
        <v>6</v>
      </c>
      <c r="P3" s="10"/>
      <c r="Q3" s="10"/>
      <c r="R3" s="11"/>
      <c r="S3" s="33" t="s">
        <v>7</v>
      </c>
      <c r="T3" s="10" t="s">
        <v>9</v>
      </c>
      <c r="U3" s="11" t="s">
        <v>8</v>
      </c>
    </row>
    <row r="4" spans="1:21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4"/>
      <c r="T4" s="14"/>
      <c r="U4" s="15"/>
    </row>
    <row r="5" spans="1:21" s="5" customFormat="1" ht="15">
      <c r="A5" s="18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8"/>
    </row>
    <row r="6" spans="1:21" s="5" customFormat="1">
      <c r="A6" s="19" t="s">
        <v>14</v>
      </c>
      <c r="B6" s="20" t="s">
        <v>15</v>
      </c>
      <c r="C6" s="20" t="s">
        <v>16</v>
      </c>
      <c r="D6" s="20" t="str">
        <f>"0,6446"</f>
        <v>0,6446</v>
      </c>
      <c r="E6" s="21" t="s">
        <v>17</v>
      </c>
      <c r="F6" s="21" t="s">
        <v>18</v>
      </c>
      <c r="G6" s="20" t="s">
        <v>19</v>
      </c>
      <c r="H6" s="20" t="s">
        <v>20</v>
      </c>
      <c r="I6" s="22" t="s">
        <v>21</v>
      </c>
      <c r="J6" s="22"/>
      <c r="K6" s="20" t="s">
        <v>22</v>
      </c>
      <c r="L6" s="20" t="s">
        <v>23</v>
      </c>
      <c r="M6" s="22" t="s">
        <v>24</v>
      </c>
      <c r="N6" s="22"/>
      <c r="O6" s="20" t="s">
        <v>19</v>
      </c>
      <c r="P6" s="22"/>
      <c r="Q6" s="22"/>
      <c r="R6" s="22"/>
      <c r="S6" s="19">
        <v>427.5</v>
      </c>
      <c r="T6" s="20" t="str">
        <f>"275,5665"</f>
        <v>275,5665</v>
      </c>
      <c r="U6" s="21"/>
    </row>
    <row r="7" spans="1:21" s="5" customFormat="1">
      <c r="A7" s="6"/>
      <c r="E7" s="8"/>
      <c r="F7" s="8"/>
      <c r="S7" s="6"/>
      <c r="U7" s="8"/>
    </row>
    <row r="8" spans="1:21" ht="15">
      <c r="A8" s="36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36"/>
      <c r="T8" s="23"/>
    </row>
    <row r="9" spans="1:21">
      <c r="A9" s="37" t="s">
        <v>26</v>
      </c>
      <c r="B9" s="24" t="s">
        <v>27</v>
      </c>
      <c r="C9" s="24" t="s">
        <v>28</v>
      </c>
      <c r="D9" s="24" t="str">
        <f>"0,6145"</f>
        <v>0,6145</v>
      </c>
      <c r="E9" s="38" t="s">
        <v>17</v>
      </c>
      <c r="F9" s="38" t="s">
        <v>29</v>
      </c>
      <c r="G9" s="24" t="s">
        <v>21</v>
      </c>
      <c r="H9" s="24" t="s">
        <v>30</v>
      </c>
      <c r="I9" s="39" t="s">
        <v>31</v>
      </c>
      <c r="J9" s="39"/>
      <c r="K9" s="24" t="s">
        <v>32</v>
      </c>
      <c r="L9" s="24" t="s">
        <v>33</v>
      </c>
      <c r="M9" s="39" t="s">
        <v>34</v>
      </c>
      <c r="N9" s="39"/>
      <c r="O9" s="24" t="s">
        <v>31</v>
      </c>
      <c r="P9" s="24" t="s">
        <v>35</v>
      </c>
      <c r="Q9" s="39" t="s">
        <v>36</v>
      </c>
      <c r="R9" s="39"/>
      <c r="S9" s="37">
        <v>585</v>
      </c>
      <c r="T9" s="24" t="str">
        <f>"359,5117"</f>
        <v>359,5117</v>
      </c>
      <c r="U9" s="38"/>
    </row>
    <row r="10" spans="1:21">
      <c r="A10" s="40" t="s">
        <v>37</v>
      </c>
      <c r="B10" s="25" t="s">
        <v>38</v>
      </c>
      <c r="C10" s="25" t="s">
        <v>39</v>
      </c>
      <c r="D10" s="25" t="str">
        <f>"0,6119"</f>
        <v>0,6119</v>
      </c>
      <c r="E10" s="41" t="s">
        <v>40</v>
      </c>
      <c r="F10" s="41" t="s">
        <v>41</v>
      </c>
      <c r="G10" s="42" t="s">
        <v>21</v>
      </c>
      <c r="H10" s="42" t="s">
        <v>21</v>
      </c>
      <c r="I10" s="25" t="s">
        <v>21</v>
      </c>
      <c r="J10" s="42"/>
      <c r="K10" s="25" t="s">
        <v>34</v>
      </c>
      <c r="L10" s="25" t="s">
        <v>42</v>
      </c>
      <c r="M10" s="42" t="s">
        <v>43</v>
      </c>
      <c r="N10" s="42"/>
      <c r="O10" s="25" t="s">
        <v>44</v>
      </c>
      <c r="P10" s="25" t="s">
        <v>45</v>
      </c>
      <c r="Q10" s="25" t="s">
        <v>46</v>
      </c>
      <c r="R10" s="42"/>
      <c r="S10" s="40">
        <v>582.5</v>
      </c>
      <c r="T10" s="25" t="str">
        <f>"356,4026"</f>
        <v>356,4026</v>
      </c>
      <c r="U10" s="41"/>
    </row>
    <row r="12" spans="1:21" ht="15">
      <c r="A12" s="36" t="s">
        <v>47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6"/>
      <c r="T12" s="23"/>
    </row>
    <row r="13" spans="1:21">
      <c r="A13" s="37" t="s">
        <v>48</v>
      </c>
      <c r="B13" s="24" t="s">
        <v>49</v>
      </c>
      <c r="C13" s="24" t="s">
        <v>50</v>
      </c>
      <c r="D13" s="24" t="str">
        <f>"0,5840"</f>
        <v>0,5840</v>
      </c>
      <c r="E13" s="38" t="s">
        <v>17</v>
      </c>
      <c r="F13" s="38" t="s">
        <v>51</v>
      </c>
      <c r="G13" s="24" t="s">
        <v>52</v>
      </c>
      <c r="H13" s="24" t="s">
        <v>36</v>
      </c>
      <c r="I13" s="39" t="s">
        <v>53</v>
      </c>
      <c r="J13" s="39"/>
      <c r="K13" s="24" t="s">
        <v>43</v>
      </c>
      <c r="L13" s="39" t="s">
        <v>54</v>
      </c>
      <c r="M13" s="39" t="s">
        <v>54</v>
      </c>
      <c r="N13" s="39"/>
      <c r="O13" s="24" t="s">
        <v>55</v>
      </c>
      <c r="P13" s="39" t="s">
        <v>56</v>
      </c>
      <c r="Q13" s="39"/>
      <c r="R13" s="39"/>
      <c r="S13" s="37">
        <v>680</v>
      </c>
      <c r="T13" s="24" t="str">
        <f>"397,1540"</f>
        <v>397,1540</v>
      </c>
      <c r="U13" s="38"/>
    </row>
    <row r="14" spans="1:21">
      <c r="A14" s="43" t="s">
        <v>57</v>
      </c>
      <c r="B14" s="26" t="s">
        <v>58</v>
      </c>
      <c r="C14" s="26" t="s">
        <v>59</v>
      </c>
      <c r="D14" s="26" t="str">
        <f>"0,6047"</f>
        <v>0,6047</v>
      </c>
      <c r="E14" s="44" t="s">
        <v>17</v>
      </c>
      <c r="F14" s="44" t="s">
        <v>60</v>
      </c>
      <c r="G14" s="26" t="s">
        <v>31</v>
      </c>
      <c r="H14" s="45" t="s">
        <v>35</v>
      </c>
      <c r="I14" s="45" t="s">
        <v>35</v>
      </c>
      <c r="J14" s="45"/>
      <c r="K14" s="26" t="s">
        <v>33</v>
      </c>
      <c r="L14" s="26" t="s">
        <v>20</v>
      </c>
      <c r="M14" s="45" t="s">
        <v>43</v>
      </c>
      <c r="N14" s="45"/>
      <c r="O14" s="26" t="s">
        <v>61</v>
      </c>
      <c r="P14" s="26" t="s">
        <v>52</v>
      </c>
      <c r="Q14" s="45"/>
      <c r="R14" s="45"/>
      <c r="S14" s="43">
        <v>610</v>
      </c>
      <c r="T14" s="26" t="str">
        <f>"368,8670"</f>
        <v>368,8670</v>
      </c>
      <c r="U14" s="44"/>
    </row>
    <row r="15" spans="1:21">
      <c r="A15" s="40" t="s">
        <v>62</v>
      </c>
      <c r="B15" s="25" t="s">
        <v>63</v>
      </c>
      <c r="C15" s="25" t="s">
        <v>64</v>
      </c>
      <c r="D15" s="25" t="str">
        <f>"0,5838"</f>
        <v>0,5838</v>
      </c>
      <c r="E15" s="41" t="s">
        <v>17</v>
      </c>
      <c r="F15" s="41" t="s">
        <v>65</v>
      </c>
      <c r="G15" s="42" t="s">
        <v>36</v>
      </c>
      <c r="H15" s="42" t="s">
        <v>66</v>
      </c>
      <c r="I15" s="42" t="s">
        <v>66</v>
      </c>
      <c r="J15" s="42"/>
      <c r="K15" s="42" t="s">
        <v>67</v>
      </c>
      <c r="L15" s="42"/>
      <c r="M15" s="42"/>
      <c r="N15" s="42"/>
      <c r="O15" s="42" t="s">
        <v>36</v>
      </c>
      <c r="P15" s="42"/>
      <c r="Q15" s="42"/>
      <c r="R15" s="42"/>
      <c r="S15" s="40">
        <v>0</v>
      </c>
      <c r="T15" s="25" t="str">
        <f>"0,0000"</f>
        <v>0,0000</v>
      </c>
      <c r="U15" s="41"/>
    </row>
    <row r="17" spans="1:21" ht="15">
      <c r="A17" s="36" t="s">
        <v>68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6"/>
      <c r="T17" s="23"/>
    </row>
    <row r="18" spans="1:21">
      <c r="A18" s="37" t="s">
        <v>69</v>
      </c>
      <c r="B18" s="24" t="s">
        <v>70</v>
      </c>
      <c r="C18" s="24" t="s">
        <v>71</v>
      </c>
      <c r="D18" s="24" t="str">
        <f>"0,5792"</f>
        <v>0,5792</v>
      </c>
      <c r="E18" s="38" t="s">
        <v>17</v>
      </c>
      <c r="F18" s="38" t="s">
        <v>72</v>
      </c>
      <c r="G18" s="24" t="s">
        <v>73</v>
      </c>
      <c r="H18" s="24" t="s">
        <v>74</v>
      </c>
      <c r="I18" s="24" t="s">
        <v>75</v>
      </c>
      <c r="J18" s="39"/>
      <c r="K18" s="39" t="s">
        <v>31</v>
      </c>
      <c r="L18" s="24" t="s">
        <v>52</v>
      </c>
      <c r="M18" s="24" t="s">
        <v>36</v>
      </c>
      <c r="N18" s="39"/>
      <c r="O18" s="24" t="s">
        <v>76</v>
      </c>
      <c r="P18" s="24" t="s">
        <v>77</v>
      </c>
      <c r="Q18" s="24" t="s">
        <v>75</v>
      </c>
      <c r="R18" s="39"/>
      <c r="S18" s="37">
        <v>940</v>
      </c>
      <c r="T18" s="24" t="str">
        <f>"544,4010"</f>
        <v>544,4010</v>
      </c>
      <c r="U18" s="38"/>
    </row>
    <row r="19" spans="1:21">
      <c r="A19" s="40" t="s">
        <v>78</v>
      </c>
      <c r="B19" s="25" t="s">
        <v>79</v>
      </c>
      <c r="C19" s="25" t="s">
        <v>80</v>
      </c>
      <c r="D19" s="25" t="str">
        <f>"0,5803"</f>
        <v>0,5803</v>
      </c>
      <c r="E19" s="41" t="s">
        <v>81</v>
      </c>
      <c r="F19" s="41" t="s">
        <v>82</v>
      </c>
      <c r="G19" s="42" t="s">
        <v>52</v>
      </c>
      <c r="H19" s="25" t="s">
        <v>52</v>
      </c>
      <c r="I19" s="25" t="s">
        <v>36</v>
      </c>
      <c r="J19" s="42"/>
      <c r="K19" s="25" t="s">
        <v>43</v>
      </c>
      <c r="L19" s="25" t="s">
        <v>67</v>
      </c>
      <c r="M19" s="25" t="s">
        <v>83</v>
      </c>
      <c r="N19" s="42"/>
      <c r="O19" s="42" t="s">
        <v>52</v>
      </c>
      <c r="P19" s="25" t="s">
        <v>52</v>
      </c>
      <c r="Q19" s="42" t="s">
        <v>66</v>
      </c>
      <c r="R19" s="42"/>
      <c r="S19" s="40">
        <v>660</v>
      </c>
      <c r="T19" s="25" t="str">
        <f>"383,0310"</f>
        <v>383,0310</v>
      </c>
      <c r="U19" s="41"/>
    </row>
    <row r="21" spans="1:21" ht="15">
      <c r="E21" s="46" t="s">
        <v>84</v>
      </c>
    </row>
    <row r="22" spans="1:21" ht="15">
      <c r="E22" s="46" t="s">
        <v>85</v>
      </c>
    </row>
    <row r="23" spans="1:21" ht="15">
      <c r="E23" s="46" t="s">
        <v>86</v>
      </c>
    </row>
    <row r="24" spans="1:21">
      <c r="E24" s="8" t="s">
        <v>87</v>
      </c>
    </row>
    <row r="25" spans="1:21">
      <c r="E25" s="8" t="s">
        <v>88</v>
      </c>
    </row>
    <row r="26" spans="1:21">
      <c r="E26" s="8" t="s">
        <v>89</v>
      </c>
    </row>
    <row r="29" spans="1:21" ht="18">
      <c r="A29" s="47" t="s">
        <v>90</v>
      </c>
      <c r="B29" s="48"/>
    </row>
    <row r="30" spans="1:21" ht="15">
      <c r="A30" s="49" t="s">
        <v>91</v>
      </c>
      <c r="B30" s="50"/>
    </row>
    <row r="31" spans="1:21" ht="14.25">
      <c r="A31" s="52" t="s">
        <v>92</v>
      </c>
      <c r="B31" s="53"/>
    </row>
    <row r="32" spans="1:21" ht="15">
      <c r="A32" s="54" t="s">
        <v>0</v>
      </c>
      <c r="B32" s="54" t="s">
        <v>93</v>
      </c>
      <c r="C32" s="54" t="s">
        <v>94</v>
      </c>
      <c r="D32" s="54" t="s">
        <v>7</v>
      </c>
      <c r="E32" s="54" t="s">
        <v>95</v>
      </c>
    </row>
    <row r="33" spans="1:5">
      <c r="A33" s="51" t="s">
        <v>14</v>
      </c>
      <c r="B33" s="5" t="s">
        <v>96</v>
      </c>
      <c r="C33" s="5" t="s">
        <v>97</v>
      </c>
      <c r="D33" s="5" t="s">
        <v>98</v>
      </c>
      <c r="E33" s="6" t="s">
        <v>99</v>
      </c>
    </row>
    <row r="35" spans="1:5" ht="14.25">
      <c r="A35" s="52" t="s">
        <v>100</v>
      </c>
      <c r="B35" s="53"/>
    </row>
    <row r="36" spans="1:5" ht="15">
      <c r="A36" s="54" t="s">
        <v>0</v>
      </c>
      <c r="B36" s="54" t="s">
        <v>93</v>
      </c>
      <c r="C36" s="54" t="s">
        <v>94</v>
      </c>
      <c r="D36" s="54" t="s">
        <v>7</v>
      </c>
      <c r="E36" s="54" t="s">
        <v>95</v>
      </c>
    </row>
    <row r="37" spans="1:5">
      <c r="A37" s="51" t="s">
        <v>69</v>
      </c>
      <c r="B37" s="5" t="s">
        <v>100</v>
      </c>
      <c r="C37" s="5" t="s">
        <v>101</v>
      </c>
      <c r="D37" s="5" t="s">
        <v>102</v>
      </c>
      <c r="E37" s="6" t="s">
        <v>103</v>
      </c>
    </row>
    <row r="38" spans="1:5">
      <c r="A38" s="51" t="s">
        <v>48</v>
      </c>
      <c r="B38" s="5" t="s">
        <v>100</v>
      </c>
      <c r="C38" s="5" t="s">
        <v>104</v>
      </c>
      <c r="D38" s="5" t="s">
        <v>105</v>
      </c>
      <c r="E38" s="6" t="s">
        <v>106</v>
      </c>
    </row>
    <row r="39" spans="1:5">
      <c r="A39" s="51" t="s">
        <v>78</v>
      </c>
      <c r="B39" s="5" t="s">
        <v>100</v>
      </c>
      <c r="C39" s="5" t="s">
        <v>101</v>
      </c>
      <c r="D39" s="5" t="s">
        <v>107</v>
      </c>
      <c r="E39" s="6" t="s">
        <v>108</v>
      </c>
    </row>
    <row r="40" spans="1:5">
      <c r="A40" s="51" t="s">
        <v>57</v>
      </c>
      <c r="B40" s="5" t="s">
        <v>100</v>
      </c>
      <c r="C40" s="5" t="s">
        <v>104</v>
      </c>
      <c r="D40" s="5" t="s">
        <v>109</v>
      </c>
      <c r="E40" s="6" t="s">
        <v>110</v>
      </c>
    </row>
    <row r="41" spans="1:5">
      <c r="A41" s="51" t="s">
        <v>26</v>
      </c>
      <c r="B41" s="5" t="s">
        <v>100</v>
      </c>
      <c r="C41" s="5" t="s">
        <v>111</v>
      </c>
      <c r="D41" s="5" t="s">
        <v>112</v>
      </c>
      <c r="E41" s="6" t="s">
        <v>113</v>
      </c>
    </row>
    <row r="42" spans="1:5">
      <c r="A42" s="51" t="s">
        <v>37</v>
      </c>
      <c r="B42" s="5" t="s">
        <v>100</v>
      </c>
      <c r="C42" s="5" t="s">
        <v>111</v>
      </c>
      <c r="D42" s="5" t="s">
        <v>114</v>
      </c>
      <c r="E42" s="6" t="s">
        <v>115</v>
      </c>
    </row>
  </sheetData>
  <mergeCells count="17">
    <mergeCell ref="A17:T17"/>
    <mergeCell ref="D3:D4"/>
    <mergeCell ref="S3:S4"/>
    <mergeCell ref="T3:T4"/>
    <mergeCell ref="A5:T5"/>
    <mergeCell ref="A8:T8"/>
    <mergeCell ref="A12:T12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" right="0.47" top="0.45" bottom="0.49" header="0.5" footer="0.5"/>
  <pageSetup scale="69" fitToHeight="10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10"/>
  <sheetViews>
    <sheetView workbookViewId="0">
      <selection sqref="A1:M2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2.42578125" style="55" bestFit="1" customWidth="1"/>
    <col min="7" max="7" width="5.5703125" style="55" bestFit="1" customWidth="1"/>
    <col min="8" max="8" width="7.5703125" style="55" bestFit="1" customWidth="1"/>
    <col min="9" max="9" width="2.140625" style="55" bestFit="1" customWidth="1"/>
    <col min="10" max="10" width="4.85546875" style="55" bestFit="1" customWidth="1"/>
    <col min="11" max="11" width="6.7109375" style="55" bestFit="1" customWidth="1"/>
    <col min="12" max="12" width="9.5703125" style="55" bestFit="1" customWidth="1"/>
    <col min="13" max="13" width="14.85546875" style="55" bestFit="1" customWidth="1"/>
  </cols>
  <sheetData>
    <row r="1" spans="1:13" s="1" customFormat="1" ht="15" customHeight="1">
      <c r="A1" s="27" t="s">
        <v>2714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2516</v>
      </c>
      <c r="C3" s="13" t="s">
        <v>11</v>
      </c>
      <c r="D3" s="10" t="s">
        <v>1</v>
      </c>
      <c r="E3" s="10" t="s">
        <v>2</v>
      </c>
      <c r="F3" s="16" t="s">
        <v>3</v>
      </c>
      <c r="G3" s="10" t="s">
        <v>5</v>
      </c>
      <c r="H3" s="10"/>
      <c r="I3" s="10"/>
      <c r="J3" s="10"/>
      <c r="K3" s="10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2" t="s">
        <v>2515</v>
      </c>
      <c r="H4" s="2" t="s">
        <v>2514</v>
      </c>
      <c r="I4" s="2">
        <v>3</v>
      </c>
      <c r="J4" s="4" t="s">
        <v>10</v>
      </c>
      <c r="K4" s="14"/>
      <c r="L4" s="14"/>
      <c r="M4" s="15"/>
    </row>
    <row r="5" spans="1:13" ht="15">
      <c r="A5" s="35" t="s">
        <v>127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2446</v>
      </c>
      <c r="B6" s="56" t="s">
        <v>2513</v>
      </c>
      <c r="C6" s="56" t="s">
        <v>2512</v>
      </c>
      <c r="D6" s="56" t="str">
        <f>"0,8612"</f>
        <v>0,8612</v>
      </c>
      <c r="E6" s="56" t="s">
        <v>17</v>
      </c>
      <c r="F6" s="56" t="s">
        <v>464</v>
      </c>
      <c r="G6" s="56" t="s">
        <v>141</v>
      </c>
      <c r="H6" s="56" t="s">
        <v>2511</v>
      </c>
      <c r="I6" s="57"/>
      <c r="J6" s="57"/>
      <c r="K6" s="56">
        <v>3060</v>
      </c>
      <c r="L6" s="56" t="str">
        <f>"2635,2719"</f>
        <v>2635,2719</v>
      </c>
      <c r="M6" s="56"/>
    </row>
    <row r="8" spans="1:13" ht="15">
      <c r="A8" s="58" t="s">
        <v>143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486</v>
      </c>
      <c r="B9" s="56" t="s">
        <v>487</v>
      </c>
      <c r="C9" s="56" t="s">
        <v>488</v>
      </c>
      <c r="D9" s="56" t="str">
        <f>"0,7522"</f>
        <v>0,7522</v>
      </c>
      <c r="E9" s="56" t="s">
        <v>17</v>
      </c>
      <c r="F9" s="56" t="s">
        <v>489</v>
      </c>
      <c r="G9" s="56" t="s">
        <v>794</v>
      </c>
      <c r="H9" s="56" t="s">
        <v>154</v>
      </c>
      <c r="I9" s="57"/>
      <c r="J9" s="57"/>
      <c r="K9" s="56">
        <v>3037.5</v>
      </c>
      <c r="L9" s="56" t="str">
        <f>"2284,8075"</f>
        <v>2284,8075</v>
      </c>
      <c r="M9" s="56"/>
    </row>
    <row r="11" spans="1:13" ht="15">
      <c r="A11" s="58" t="s">
        <v>189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>
      <c r="A12" s="59" t="s">
        <v>2443</v>
      </c>
      <c r="B12" s="59" t="s">
        <v>2510</v>
      </c>
      <c r="C12" s="59" t="s">
        <v>782</v>
      </c>
      <c r="D12" s="59" t="str">
        <f>"0,7322"</f>
        <v>0,7322</v>
      </c>
      <c r="E12" s="59" t="s">
        <v>17</v>
      </c>
      <c r="F12" s="59" t="s">
        <v>29</v>
      </c>
      <c r="G12" s="59" t="s">
        <v>165</v>
      </c>
      <c r="H12" s="59" t="s">
        <v>2478</v>
      </c>
      <c r="I12" s="60"/>
      <c r="J12" s="60"/>
      <c r="K12" s="59">
        <v>2940</v>
      </c>
      <c r="L12" s="59" t="str">
        <f>"2152,6681"</f>
        <v>2152,6681</v>
      </c>
      <c r="M12" s="59"/>
    </row>
    <row r="13" spans="1:13">
      <c r="A13" s="63" t="s">
        <v>2440</v>
      </c>
      <c r="B13" s="63" t="s">
        <v>2509</v>
      </c>
      <c r="C13" s="63" t="s">
        <v>839</v>
      </c>
      <c r="D13" s="63" t="str">
        <f>"0,7140"</f>
        <v>0,7140</v>
      </c>
      <c r="E13" s="63" t="s">
        <v>17</v>
      </c>
      <c r="F13" s="63" t="s">
        <v>464</v>
      </c>
      <c r="G13" s="63" t="s">
        <v>169</v>
      </c>
      <c r="H13" s="63" t="s">
        <v>2450</v>
      </c>
      <c r="I13" s="64"/>
      <c r="J13" s="64"/>
      <c r="K13" s="63">
        <v>1957.5</v>
      </c>
      <c r="L13" s="63" t="str">
        <f>"1397,7529"</f>
        <v>1397,7529</v>
      </c>
      <c r="M13" s="63"/>
    </row>
    <row r="14" spans="1:13">
      <c r="A14" s="63" t="s">
        <v>2434</v>
      </c>
      <c r="B14" s="63" t="s">
        <v>2508</v>
      </c>
      <c r="C14" s="63" t="s">
        <v>2507</v>
      </c>
      <c r="D14" s="63" t="str">
        <f>"0,6962"</f>
        <v>0,6962</v>
      </c>
      <c r="E14" s="63" t="s">
        <v>17</v>
      </c>
      <c r="F14" s="63" t="s">
        <v>569</v>
      </c>
      <c r="G14" s="63" t="s">
        <v>170</v>
      </c>
      <c r="H14" s="63" t="s">
        <v>134</v>
      </c>
      <c r="I14" s="64"/>
      <c r="J14" s="64"/>
      <c r="K14" s="63">
        <v>3750</v>
      </c>
      <c r="L14" s="63" t="str">
        <f>"2610,5625"</f>
        <v>2610,5625</v>
      </c>
      <c r="M14" s="63"/>
    </row>
    <row r="15" spans="1:13">
      <c r="A15" s="63" t="s">
        <v>2400</v>
      </c>
      <c r="B15" s="63" t="s">
        <v>2506</v>
      </c>
      <c r="C15" s="63" t="s">
        <v>2505</v>
      </c>
      <c r="D15" s="63" t="str">
        <f>"0,7393"</f>
        <v>0,7393</v>
      </c>
      <c r="E15" s="63" t="s">
        <v>17</v>
      </c>
      <c r="F15" s="63" t="s">
        <v>153</v>
      </c>
      <c r="G15" s="63" t="s">
        <v>165</v>
      </c>
      <c r="H15" s="63" t="s">
        <v>2471</v>
      </c>
      <c r="I15" s="64"/>
      <c r="J15" s="64"/>
      <c r="K15" s="63">
        <v>2520</v>
      </c>
      <c r="L15" s="63" t="str">
        <f>"1862,9100"</f>
        <v>1862,9100</v>
      </c>
      <c r="M15" s="63"/>
    </row>
    <row r="16" spans="1:13">
      <c r="A16" s="63" t="s">
        <v>2403</v>
      </c>
      <c r="B16" s="63" t="s">
        <v>2504</v>
      </c>
      <c r="C16" s="63" t="s">
        <v>835</v>
      </c>
      <c r="D16" s="63" t="str">
        <f>"0,6913"</f>
        <v>0,6913</v>
      </c>
      <c r="E16" s="63" t="s">
        <v>17</v>
      </c>
      <c r="F16" s="63" t="s">
        <v>2503</v>
      </c>
      <c r="G16" s="63" t="s">
        <v>170</v>
      </c>
      <c r="H16" s="63" t="s">
        <v>2471</v>
      </c>
      <c r="I16" s="64"/>
      <c r="J16" s="64"/>
      <c r="K16" s="63">
        <v>2700</v>
      </c>
      <c r="L16" s="63" t="str">
        <f>"1866,3751"</f>
        <v>1866,3751</v>
      </c>
      <c r="M16" s="63"/>
    </row>
    <row r="17" spans="1:13">
      <c r="A17" s="63" t="s">
        <v>2379</v>
      </c>
      <c r="B17" s="63" t="s">
        <v>2502</v>
      </c>
      <c r="C17" s="63" t="s">
        <v>2501</v>
      </c>
      <c r="D17" s="63" t="str">
        <f>"0,7412"</f>
        <v>0,7412</v>
      </c>
      <c r="E17" s="63" t="s">
        <v>17</v>
      </c>
      <c r="F17" s="63" t="s">
        <v>2500</v>
      </c>
      <c r="G17" s="63" t="s">
        <v>170</v>
      </c>
      <c r="H17" s="63" t="s">
        <v>2452</v>
      </c>
      <c r="I17" s="64"/>
      <c r="J17" s="64"/>
      <c r="K17" s="63">
        <v>2475</v>
      </c>
      <c r="L17" s="63" t="str">
        <f>"1834,4502"</f>
        <v>1834,4502</v>
      </c>
      <c r="M17" s="63"/>
    </row>
    <row r="18" spans="1:13">
      <c r="A18" s="61" t="s">
        <v>2384</v>
      </c>
      <c r="B18" s="61" t="s">
        <v>2499</v>
      </c>
      <c r="C18" s="61" t="s">
        <v>2498</v>
      </c>
      <c r="D18" s="61" t="str">
        <f>"0,8469"</f>
        <v>0,8469</v>
      </c>
      <c r="E18" s="61" t="s">
        <v>17</v>
      </c>
      <c r="F18" s="61" t="s">
        <v>2497</v>
      </c>
      <c r="G18" s="61" t="s">
        <v>165</v>
      </c>
      <c r="H18" s="61" t="s">
        <v>1360</v>
      </c>
      <c r="I18" s="62"/>
      <c r="J18" s="62"/>
      <c r="K18" s="61">
        <v>2450</v>
      </c>
      <c r="L18" s="61" t="str">
        <f>"2074,8742"</f>
        <v>2074,8742</v>
      </c>
      <c r="M18" s="61"/>
    </row>
    <row r="20" spans="1:13" ht="15">
      <c r="A20" s="58" t="s">
        <v>13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3">
      <c r="A21" s="56" t="s">
        <v>2406</v>
      </c>
      <c r="B21" s="56" t="s">
        <v>2496</v>
      </c>
      <c r="C21" s="56" t="s">
        <v>1488</v>
      </c>
      <c r="D21" s="56" t="str">
        <f>"0,6761"</f>
        <v>0,6761</v>
      </c>
      <c r="E21" s="56" t="s">
        <v>17</v>
      </c>
      <c r="F21" s="56" t="s">
        <v>2495</v>
      </c>
      <c r="G21" s="56" t="s">
        <v>772</v>
      </c>
      <c r="H21" s="56" t="s">
        <v>2471</v>
      </c>
      <c r="I21" s="57"/>
      <c r="J21" s="57"/>
      <c r="K21" s="56">
        <v>2790</v>
      </c>
      <c r="L21" s="56" t="str">
        <f>"1886,3190"</f>
        <v>1886,3190</v>
      </c>
      <c r="M21" s="56"/>
    </row>
    <row r="23" spans="1:13" ht="15">
      <c r="A23" s="58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3">
      <c r="A24" s="59" t="s">
        <v>2437</v>
      </c>
      <c r="B24" s="59" t="s">
        <v>2494</v>
      </c>
      <c r="C24" s="59" t="s">
        <v>2177</v>
      </c>
      <c r="D24" s="59" t="str">
        <f>"0,6378"</f>
        <v>0,6378</v>
      </c>
      <c r="E24" s="59" t="s">
        <v>17</v>
      </c>
      <c r="F24" s="59" t="s">
        <v>750</v>
      </c>
      <c r="G24" s="59" t="s">
        <v>155</v>
      </c>
      <c r="H24" s="59" t="s">
        <v>2449</v>
      </c>
      <c r="I24" s="60"/>
      <c r="J24" s="60"/>
      <c r="K24" s="59">
        <v>1615</v>
      </c>
      <c r="L24" s="59" t="str">
        <f>"1029,9663"</f>
        <v>1029,9663</v>
      </c>
      <c r="M24" s="59"/>
    </row>
    <row r="25" spans="1:13">
      <c r="A25" s="63" t="s">
        <v>2427</v>
      </c>
      <c r="B25" s="63" t="s">
        <v>2493</v>
      </c>
      <c r="C25" s="63" t="s">
        <v>2492</v>
      </c>
      <c r="D25" s="63" t="str">
        <f>"0,6345"</f>
        <v>0,6345</v>
      </c>
      <c r="E25" s="63" t="s">
        <v>17</v>
      </c>
      <c r="F25" s="63" t="s">
        <v>2008</v>
      </c>
      <c r="G25" s="63" t="s">
        <v>155</v>
      </c>
      <c r="H25" s="63" t="s">
        <v>2491</v>
      </c>
      <c r="I25" s="64"/>
      <c r="J25" s="64"/>
      <c r="K25" s="63">
        <v>3910</v>
      </c>
      <c r="L25" s="63" t="str">
        <f>"2480,6996"</f>
        <v>2480,6996</v>
      </c>
      <c r="M25" s="63"/>
    </row>
    <row r="26" spans="1:13">
      <c r="A26" s="63" t="s">
        <v>2397</v>
      </c>
      <c r="B26" s="63" t="s">
        <v>2490</v>
      </c>
      <c r="C26" s="63" t="s">
        <v>1538</v>
      </c>
      <c r="D26" s="63" t="str">
        <f>"0,6255"</f>
        <v>0,6255</v>
      </c>
      <c r="E26" s="63" t="s">
        <v>17</v>
      </c>
      <c r="F26" s="63" t="s">
        <v>65</v>
      </c>
      <c r="G26" s="63" t="s">
        <v>465</v>
      </c>
      <c r="H26" s="63" t="s">
        <v>2489</v>
      </c>
      <c r="I26" s="64"/>
      <c r="J26" s="64"/>
      <c r="K26" s="63">
        <v>2712.5</v>
      </c>
      <c r="L26" s="63" t="str">
        <f>"1696,6688"</f>
        <v>1696,6688</v>
      </c>
      <c r="M26" s="63"/>
    </row>
    <row r="27" spans="1:13">
      <c r="A27" s="63" t="s">
        <v>530</v>
      </c>
      <c r="B27" s="63" t="s">
        <v>531</v>
      </c>
      <c r="C27" s="63" t="s">
        <v>39</v>
      </c>
      <c r="D27" s="63" t="str">
        <f>"0,7758"</f>
        <v>0,7758</v>
      </c>
      <c r="E27" s="63" t="s">
        <v>532</v>
      </c>
      <c r="F27" s="63" t="s">
        <v>532</v>
      </c>
      <c r="G27" s="63" t="s">
        <v>132</v>
      </c>
      <c r="H27" s="63" t="s">
        <v>2488</v>
      </c>
      <c r="I27" s="64"/>
      <c r="J27" s="64"/>
      <c r="K27" s="63">
        <v>1170</v>
      </c>
      <c r="L27" s="63" t="str">
        <f>"907,7163"</f>
        <v>907,7163</v>
      </c>
      <c r="M27" s="63"/>
    </row>
    <row r="28" spans="1:13">
      <c r="A28" s="61" t="s">
        <v>538</v>
      </c>
      <c r="B28" s="61" t="s">
        <v>539</v>
      </c>
      <c r="C28" s="61" t="s">
        <v>540</v>
      </c>
      <c r="D28" s="61" t="str">
        <f>"0,9268"</f>
        <v>0,9268</v>
      </c>
      <c r="E28" s="61" t="s">
        <v>541</v>
      </c>
      <c r="F28" s="61" t="s">
        <v>2487</v>
      </c>
      <c r="G28" s="61" t="s">
        <v>155</v>
      </c>
      <c r="H28" s="61" t="s">
        <v>2486</v>
      </c>
      <c r="I28" s="62"/>
      <c r="J28" s="62"/>
      <c r="K28" s="61">
        <v>1360</v>
      </c>
      <c r="L28" s="61" t="str">
        <f>"1260,5023"</f>
        <v>1260,5023</v>
      </c>
      <c r="M28" s="61" t="s">
        <v>543</v>
      </c>
    </row>
    <row r="30" spans="1:13" ht="15">
      <c r="A30" s="58" t="s">
        <v>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3">
      <c r="A31" s="59" t="s">
        <v>2424</v>
      </c>
      <c r="B31" s="59" t="s">
        <v>2485</v>
      </c>
      <c r="C31" s="59" t="s">
        <v>2480</v>
      </c>
      <c r="D31" s="59" t="str">
        <f>"0,6029"</f>
        <v>0,6029</v>
      </c>
      <c r="E31" s="59" t="s">
        <v>17</v>
      </c>
      <c r="F31" s="59" t="s">
        <v>2479</v>
      </c>
      <c r="G31" s="59" t="s">
        <v>359</v>
      </c>
      <c r="H31" s="59" t="s">
        <v>2478</v>
      </c>
      <c r="I31" s="60"/>
      <c r="J31" s="60"/>
      <c r="K31" s="59">
        <v>3885</v>
      </c>
      <c r="L31" s="59" t="str">
        <f>"2342,4607"</f>
        <v>2342,4607</v>
      </c>
      <c r="M31" s="59"/>
    </row>
    <row r="32" spans="1:13">
      <c r="A32" s="63" t="s">
        <v>2430</v>
      </c>
      <c r="B32" s="63" t="s">
        <v>2484</v>
      </c>
      <c r="C32" s="63" t="s">
        <v>2196</v>
      </c>
      <c r="D32" s="63" t="str">
        <f>"0,5908"</f>
        <v>0,5908</v>
      </c>
      <c r="E32" s="63" t="s">
        <v>17</v>
      </c>
      <c r="F32" s="63" t="s">
        <v>2483</v>
      </c>
      <c r="G32" s="63" t="s">
        <v>477</v>
      </c>
      <c r="H32" s="63" t="s">
        <v>2482</v>
      </c>
      <c r="I32" s="64"/>
      <c r="J32" s="64"/>
      <c r="K32" s="63">
        <v>4290</v>
      </c>
      <c r="L32" s="63" t="str">
        <f>"2534,5319"</f>
        <v>2534,5319</v>
      </c>
      <c r="M32" s="63"/>
    </row>
    <row r="33" spans="1:13">
      <c r="A33" s="63" t="s">
        <v>2424</v>
      </c>
      <c r="B33" s="63" t="s">
        <v>2481</v>
      </c>
      <c r="C33" s="63" t="s">
        <v>2480</v>
      </c>
      <c r="D33" s="63" t="str">
        <f>"0,6029"</f>
        <v>0,6029</v>
      </c>
      <c r="E33" s="63" t="s">
        <v>17</v>
      </c>
      <c r="F33" s="63" t="s">
        <v>2479</v>
      </c>
      <c r="G33" s="63" t="s">
        <v>359</v>
      </c>
      <c r="H33" s="63" t="s">
        <v>2478</v>
      </c>
      <c r="I33" s="64"/>
      <c r="J33" s="64"/>
      <c r="K33" s="63">
        <v>3885</v>
      </c>
      <c r="L33" s="63" t="str">
        <f>"2342,4607"</f>
        <v>2342,4607</v>
      </c>
      <c r="M33" s="63"/>
    </row>
    <row r="34" spans="1:13">
      <c r="A34" s="63" t="s">
        <v>2418</v>
      </c>
      <c r="B34" s="63" t="s">
        <v>2477</v>
      </c>
      <c r="C34" s="63" t="s">
        <v>2476</v>
      </c>
      <c r="D34" s="63" t="str">
        <f>"0,5896"</f>
        <v>0,5896</v>
      </c>
      <c r="E34" s="63" t="s">
        <v>17</v>
      </c>
      <c r="F34" s="63" t="s">
        <v>2475</v>
      </c>
      <c r="G34" s="63" t="s">
        <v>477</v>
      </c>
      <c r="H34" s="63" t="s">
        <v>133</v>
      </c>
      <c r="I34" s="64"/>
      <c r="J34" s="64"/>
      <c r="K34" s="63">
        <v>3900</v>
      </c>
      <c r="L34" s="63" t="str">
        <f>"2299,6349"</f>
        <v>2299,6349</v>
      </c>
      <c r="M34" s="63"/>
    </row>
    <row r="35" spans="1:13">
      <c r="A35" s="63" t="s">
        <v>2412</v>
      </c>
      <c r="B35" s="63" t="s">
        <v>2474</v>
      </c>
      <c r="C35" s="63" t="s">
        <v>2473</v>
      </c>
      <c r="D35" s="63" t="str">
        <f>"0,6050"</f>
        <v>0,6050</v>
      </c>
      <c r="E35" s="63" t="s">
        <v>17</v>
      </c>
      <c r="F35" s="63" t="s">
        <v>2472</v>
      </c>
      <c r="G35" s="63" t="s">
        <v>359</v>
      </c>
      <c r="H35" s="63" t="s">
        <v>2471</v>
      </c>
      <c r="I35" s="64"/>
      <c r="J35" s="64"/>
      <c r="K35" s="63">
        <v>3330</v>
      </c>
      <c r="L35" s="63" t="str">
        <f>"2014,6501"</f>
        <v>2014,6501</v>
      </c>
      <c r="M35" s="63"/>
    </row>
    <row r="36" spans="1:13">
      <c r="A36" s="63" t="s">
        <v>57</v>
      </c>
      <c r="B36" s="63" t="s">
        <v>58</v>
      </c>
      <c r="C36" s="63" t="s">
        <v>59</v>
      </c>
      <c r="D36" s="63" t="str">
        <f>"0,6047"</f>
        <v>0,6047</v>
      </c>
      <c r="E36" s="63" t="s">
        <v>17</v>
      </c>
      <c r="F36" s="63" t="s">
        <v>60</v>
      </c>
      <c r="G36" s="63" t="s">
        <v>359</v>
      </c>
      <c r="H36" s="63" t="s">
        <v>2461</v>
      </c>
      <c r="I36" s="64"/>
      <c r="J36" s="64"/>
      <c r="K36" s="63">
        <v>2775</v>
      </c>
      <c r="L36" s="63" t="str">
        <f>"1678,0426"</f>
        <v>1678,0426</v>
      </c>
      <c r="M36" s="63"/>
    </row>
    <row r="37" spans="1:13">
      <c r="A37" s="61" t="s">
        <v>566</v>
      </c>
      <c r="B37" s="61" t="s">
        <v>567</v>
      </c>
      <c r="C37" s="61" t="s">
        <v>568</v>
      </c>
      <c r="D37" s="61" t="str">
        <f>"0,8522"</f>
        <v>0,8522</v>
      </c>
      <c r="E37" s="61" t="s">
        <v>17</v>
      </c>
      <c r="F37" s="61" t="s">
        <v>569</v>
      </c>
      <c r="G37" s="62" t="s">
        <v>477</v>
      </c>
      <c r="H37" s="62" t="s">
        <v>2470</v>
      </c>
      <c r="I37" s="62"/>
      <c r="J37" s="62"/>
      <c r="K37" s="61">
        <v>0</v>
      </c>
      <c r="L37" s="61" t="str">
        <f>"0,0000"</f>
        <v>0,0000</v>
      </c>
      <c r="M37" s="61"/>
    </row>
    <row r="39" spans="1:13" ht="15">
      <c r="A39" s="58" t="s">
        <v>68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3">
      <c r="A40" s="59" t="s">
        <v>2390</v>
      </c>
      <c r="B40" s="59" t="s">
        <v>2469</v>
      </c>
      <c r="C40" s="59" t="s">
        <v>2458</v>
      </c>
      <c r="D40" s="59" t="str">
        <f>"0,5769"</f>
        <v>0,5769</v>
      </c>
      <c r="E40" s="59" t="s">
        <v>17</v>
      </c>
      <c r="F40" s="59" t="s">
        <v>481</v>
      </c>
      <c r="G40" s="59" t="s">
        <v>122</v>
      </c>
      <c r="H40" s="59" t="s">
        <v>2457</v>
      </c>
      <c r="I40" s="60"/>
      <c r="J40" s="60"/>
      <c r="K40" s="59">
        <v>4407.5</v>
      </c>
      <c r="L40" s="59" t="str">
        <f>"2542,6868"</f>
        <v>2542,6868</v>
      </c>
      <c r="M40" s="59"/>
    </row>
    <row r="41" spans="1:13">
      <c r="A41" s="63" t="s">
        <v>2421</v>
      </c>
      <c r="B41" s="63" t="s">
        <v>2468</v>
      </c>
      <c r="C41" s="63" t="s">
        <v>2467</v>
      </c>
      <c r="D41" s="63" t="str">
        <f>"0,5806"</f>
        <v>0,5806</v>
      </c>
      <c r="E41" s="63" t="s">
        <v>17</v>
      </c>
      <c r="F41" s="63" t="s">
        <v>29</v>
      </c>
      <c r="G41" s="63" t="s">
        <v>122</v>
      </c>
      <c r="H41" s="63" t="s">
        <v>2466</v>
      </c>
      <c r="I41" s="64"/>
      <c r="J41" s="64"/>
      <c r="K41" s="63">
        <v>3997.5</v>
      </c>
      <c r="L41" s="63" t="str">
        <f>"2320,9486"</f>
        <v>2320,9486</v>
      </c>
      <c r="M41" s="63" t="s">
        <v>374</v>
      </c>
    </row>
    <row r="42" spans="1:13">
      <c r="A42" s="63" t="s">
        <v>2409</v>
      </c>
      <c r="B42" s="63" t="s">
        <v>2465</v>
      </c>
      <c r="C42" s="63" t="s">
        <v>2464</v>
      </c>
      <c r="D42" s="63" t="str">
        <f>"0,5802"</f>
        <v>0,5802</v>
      </c>
      <c r="E42" s="63" t="s">
        <v>17</v>
      </c>
      <c r="F42" s="63" t="s">
        <v>72</v>
      </c>
      <c r="G42" s="63" t="s">
        <v>122</v>
      </c>
      <c r="H42" s="63" t="s">
        <v>2452</v>
      </c>
      <c r="I42" s="64"/>
      <c r="J42" s="64"/>
      <c r="K42" s="63">
        <v>3382.5</v>
      </c>
      <c r="L42" s="63" t="str">
        <f>"1962,3574"</f>
        <v>1962,3574</v>
      </c>
      <c r="M42" s="63"/>
    </row>
    <row r="43" spans="1:13">
      <c r="A43" s="63" t="s">
        <v>2376</v>
      </c>
      <c r="B43" s="63" t="s">
        <v>2463</v>
      </c>
      <c r="C43" s="63" t="s">
        <v>2462</v>
      </c>
      <c r="D43" s="63" t="str">
        <f>"0,5825"</f>
        <v>0,5825</v>
      </c>
      <c r="E43" s="63" t="s">
        <v>17</v>
      </c>
      <c r="F43" s="63" t="s">
        <v>750</v>
      </c>
      <c r="G43" s="63" t="s">
        <v>122</v>
      </c>
      <c r="H43" s="63" t="s">
        <v>2461</v>
      </c>
      <c r="I43" s="64"/>
      <c r="J43" s="64"/>
      <c r="K43" s="63">
        <v>3075</v>
      </c>
      <c r="L43" s="63" t="str">
        <f>"1791,0859"</f>
        <v>1791,0859</v>
      </c>
      <c r="M43" s="63"/>
    </row>
    <row r="44" spans="1:13">
      <c r="A44" s="63" t="s">
        <v>581</v>
      </c>
      <c r="B44" s="63" t="s">
        <v>582</v>
      </c>
      <c r="C44" s="63" t="s">
        <v>583</v>
      </c>
      <c r="D44" s="63" t="str">
        <f>"0,6223"</f>
        <v>0,6223</v>
      </c>
      <c r="E44" s="63" t="s">
        <v>767</v>
      </c>
      <c r="F44" s="63" t="s">
        <v>72</v>
      </c>
      <c r="G44" s="63" t="s">
        <v>123</v>
      </c>
      <c r="H44" s="63" t="s">
        <v>2460</v>
      </c>
      <c r="I44" s="64"/>
      <c r="J44" s="64"/>
      <c r="K44" s="63">
        <v>2687.5</v>
      </c>
      <c r="L44" s="63" t="str">
        <f>"1672,5068"</f>
        <v>1672,5068</v>
      </c>
      <c r="M44" s="63"/>
    </row>
    <row r="45" spans="1:13">
      <c r="A45" s="61" t="s">
        <v>2390</v>
      </c>
      <c r="B45" s="61" t="s">
        <v>2459</v>
      </c>
      <c r="C45" s="61" t="s">
        <v>2458</v>
      </c>
      <c r="D45" s="61" t="str">
        <f>"0,6519"</f>
        <v>0,6519</v>
      </c>
      <c r="E45" s="61" t="s">
        <v>17</v>
      </c>
      <c r="F45" s="61" t="s">
        <v>481</v>
      </c>
      <c r="G45" s="61" t="s">
        <v>122</v>
      </c>
      <c r="H45" s="61" t="s">
        <v>2457</v>
      </c>
      <c r="I45" s="62"/>
      <c r="J45" s="62"/>
      <c r="K45" s="61">
        <v>4407.5</v>
      </c>
      <c r="L45" s="61" t="str">
        <f>"2873,2361"</f>
        <v>2873,2361</v>
      </c>
      <c r="M45" s="61"/>
    </row>
    <row r="47" spans="1:13" ht="15">
      <c r="A47" s="58" t="s">
        <v>271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3">
      <c r="A48" s="59" t="s">
        <v>2387</v>
      </c>
      <c r="B48" s="59" t="s">
        <v>2456</v>
      </c>
      <c r="C48" s="59" t="s">
        <v>2454</v>
      </c>
      <c r="D48" s="59" t="str">
        <f>"0,5595"</f>
        <v>0,5595</v>
      </c>
      <c r="E48" s="59" t="s">
        <v>17</v>
      </c>
      <c r="F48" s="59" t="s">
        <v>2453</v>
      </c>
      <c r="G48" s="59" t="s">
        <v>187</v>
      </c>
      <c r="H48" s="59" t="s">
        <v>2452</v>
      </c>
      <c r="I48" s="60"/>
      <c r="J48" s="60"/>
      <c r="K48" s="59">
        <v>3712.5</v>
      </c>
      <c r="L48" s="59" t="str">
        <f>"2077,1437"</f>
        <v>2077,1437</v>
      </c>
      <c r="M48" s="59"/>
    </row>
    <row r="49" spans="1:13">
      <c r="A49" s="63" t="s">
        <v>2387</v>
      </c>
      <c r="B49" s="63" t="s">
        <v>2455</v>
      </c>
      <c r="C49" s="63" t="s">
        <v>2454</v>
      </c>
      <c r="D49" s="63" t="str">
        <f>"0,5651"</f>
        <v>0,5651</v>
      </c>
      <c r="E49" s="63" t="s">
        <v>17</v>
      </c>
      <c r="F49" s="63" t="s">
        <v>2453</v>
      </c>
      <c r="G49" s="63" t="s">
        <v>187</v>
      </c>
      <c r="H49" s="63" t="s">
        <v>2452</v>
      </c>
      <c r="I49" s="64"/>
      <c r="J49" s="64"/>
      <c r="K49" s="63">
        <v>3712.5</v>
      </c>
      <c r="L49" s="63" t="str">
        <f>"2097,9152"</f>
        <v>2097,9152</v>
      </c>
      <c r="M49" s="63"/>
    </row>
    <row r="50" spans="1:13">
      <c r="A50" s="63" t="s">
        <v>602</v>
      </c>
      <c r="B50" s="63" t="s">
        <v>2451</v>
      </c>
      <c r="C50" s="63" t="s">
        <v>604</v>
      </c>
      <c r="D50" s="63" t="str">
        <f>"0,5691"</f>
        <v>0,5691</v>
      </c>
      <c r="E50" s="63" t="s">
        <v>17</v>
      </c>
      <c r="F50" s="63" t="s">
        <v>569</v>
      </c>
      <c r="G50" s="63" t="s">
        <v>149</v>
      </c>
      <c r="H50" s="63" t="s">
        <v>2450</v>
      </c>
      <c r="I50" s="64"/>
      <c r="J50" s="64"/>
      <c r="K50" s="63">
        <v>3240</v>
      </c>
      <c r="L50" s="63" t="str">
        <f>"1843,9229"</f>
        <v>1843,9229</v>
      </c>
      <c r="M50" s="63"/>
    </row>
    <row r="51" spans="1:13">
      <c r="A51" s="63" t="s">
        <v>598</v>
      </c>
      <c r="B51" s="63" t="s">
        <v>609</v>
      </c>
      <c r="C51" s="63" t="s">
        <v>600</v>
      </c>
      <c r="D51" s="63" t="str">
        <f>"0,5721"</f>
        <v>0,5721</v>
      </c>
      <c r="E51" s="63" t="s">
        <v>17</v>
      </c>
      <c r="F51" s="63" t="s">
        <v>601</v>
      </c>
      <c r="G51" s="63" t="s">
        <v>270</v>
      </c>
      <c r="H51" s="63" t="s">
        <v>2449</v>
      </c>
      <c r="I51" s="64"/>
      <c r="J51" s="64"/>
      <c r="K51" s="63">
        <v>2232.5</v>
      </c>
      <c r="L51" s="63" t="str">
        <f>"1277,2175"</f>
        <v>1277,2175</v>
      </c>
      <c r="M51" s="63"/>
    </row>
    <row r="52" spans="1:13">
      <c r="A52" s="61" t="s">
        <v>614</v>
      </c>
      <c r="B52" s="61" t="s">
        <v>615</v>
      </c>
      <c r="C52" s="61" t="s">
        <v>616</v>
      </c>
      <c r="D52" s="61" t="str">
        <f>"0,6421"</f>
        <v>0,6421</v>
      </c>
      <c r="E52" s="61" t="s">
        <v>17</v>
      </c>
      <c r="F52" s="61" t="s">
        <v>72</v>
      </c>
      <c r="G52" s="61" t="s">
        <v>149</v>
      </c>
      <c r="H52" s="61" t="s">
        <v>2448</v>
      </c>
      <c r="I52" s="62"/>
      <c r="J52" s="62"/>
      <c r="K52" s="61">
        <v>2040</v>
      </c>
      <c r="L52" s="61" t="str">
        <f>"1309,8632"</f>
        <v>1309,8632</v>
      </c>
      <c r="M52" s="61"/>
    </row>
    <row r="54" spans="1:13" ht="15">
      <c r="A54" s="58" t="s">
        <v>617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3">
      <c r="A55" s="56" t="s">
        <v>622</v>
      </c>
      <c r="B55" s="56" t="s">
        <v>623</v>
      </c>
      <c r="C55" s="56" t="s">
        <v>624</v>
      </c>
      <c r="D55" s="56" t="str">
        <f>"0,5454"</f>
        <v>0,5454</v>
      </c>
      <c r="E55" s="56" t="s">
        <v>17</v>
      </c>
      <c r="F55" s="56" t="s">
        <v>72</v>
      </c>
      <c r="G55" s="56" t="s">
        <v>817</v>
      </c>
      <c r="H55" s="56" t="s">
        <v>2447</v>
      </c>
      <c r="I55" s="57"/>
      <c r="J55" s="57"/>
      <c r="K55" s="56">
        <v>2550</v>
      </c>
      <c r="L55" s="56" t="str">
        <f>"1390,6681"</f>
        <v>1390,6681</v>
      </c>
      <c r="M55" s="56"/>
    </row>
    <row r="57" spans="1:13" ht="15">
      <c r="E57" s="65" t="s">
        <v>84</v>
      </c>
    </row>
    <row r="58" spans="1:13" ht="15">
      <c r="E58" s="65" t="s">
        <v>85</v>
      </c>
    </row>
    <row r="59" spans="1:13" ht="15">
      <c r="E59" s="65" t="s">
        <v>86</v>
      </c>
    </row>
    <row r="60" spans="1:13">
      <c r="E60" s="55" t="s">
        <v>87</v>
      </c>
    </row>
    <row r="61" spans="1:13">
      <c r="E61" s="55" t="s">
        <v>88</v>
      </c>
    </row>
    <row r="62" spans="1:13">
      <c r="E62" s="55" t="s">
        <v>89</v>
      </c>
    </row>
    <row r="65" spans="1:5" ht="18">
      <c r="A65" s="66" t="s">
        <v>90</v>
      </c>
      <c r="B65" s="66"/>
    </row>
    <row r="66" spans="1:5" ht="15">
      <c r="A66" s="67" t="s">
        <v>91</v>
      </c>
      <c r="B66" s="67"/>
    </row>
    <row r="67" spans="1:5" ht="14.25">
      <c r="A67" s="69" t="s">
        <v>285</v>
      </c>
      <c r="B67" s="70"/>
    </row>
    <row r="68" spans="1:5" ht="15">
      <c r="A68" s="71" t="s">
        <v>0</v>
      </c>
      <c r="B68" s="71" t="s">
        <v>93</v>
      </c>
      <c r="C68" s="71" t="s">
        <v>94</v>
      </c>
      <c r="D68" s="71" t="s">
        <v>7</v>
      </c>
      <c r="E68" s="71" t="s">
        <v>95</v>
      </c>
    </row>
    <row r="69" spans="1:5">
      <c r="A69" s="68" t="s">
        <v>2446</v>
      </c>
      <c r="B69" s="55" t="s">
        <v>286</v>
      </c>
      <c r="C69" s="55" t="s">
        <v>287</v>
      </c>
      <c r="D69" s="55" t="s">
        <v>2445</v>
      </c>
      <c r="E69" s="72" t="s">
        <v>2444</v>
      </c>
    </row>
    <row r="71" spans="1:5" ht="14.25">
      <c r="A71" s="69" t="s">
        <v>92</v>
      </c>
      <c r="B71" s="70"/>
    </row>
    <row r="72" spans="1:5" ht="15">
      <c r="A72" s="71" t="s">
        <v>0</v>
      </c>
      <c r="B72" s="71" t="s">
        <v>93</v>
      </c>
      <c r="C72" s="71" t="s">
        <v>94</v>
      </c>
      <c r="D72" s="71" t="s">
        <v>7</v>
      </c>
      <c r="E72" s="71" t="s">
        <v>95</v>
      </c>
    </row>
    <row r="73" spans="1:5">
      <c r="A73" s="68" t="s">
        <v>2424</v>
      </c>
      <c r="B73" s="55" t="s">
        <v>96</v>
      </c>
      <c r="C73" s="55" t="s">
        <v>104</v>
      </c>
      <c r="D73" s="55" t="s">
        <v>2423</v>
      </c>
      <c r="E73" s="72" t="s">
        <v>2422</v>
      </c>
    </row>
    <row r="74" spans="1:5">
      <c r="A74" s="68" t="s">
        <v>2443</v>
      </c>
      <c r="B74" s="55" t="s">
        <v>96</v>
      </c>
      <c r="C74" s="55" t="s">
        <v>310</v>
      </c>
      <c r="D74" s="55" t="s">
        <v>2442</v>
      </c>
      <c r="E74" s="72" t="s">
        <v>2441</v>
      </c>
    </row>
    <row r="75" spans="1:5">
      <c r="A75" s="68" t="s">
        <v>2440</v>
      </c>
      <c r="B75" s="55" t="s">
        <v>96</v>
      </c>
      <c r="C75" s="55" t="s">
        <v>310</v>
      </c>
      <c r="D75" s="55" t="s">
        <v>2439</v>
      </c>
      <c r="E75" s="72" t="s">
        <v>2438</v>
      </c>
    </row>
    <row r="76" spans="1:5">
      <c r="A76" s="68" t="s">
        <v>2437</v>
      </c>
      <c r="B76" s="55" t="s">
        <v>96</v>
      </c>
      <c r="C76" s="55" t="s">
        <v>111</v>
      </c>
      <c r="D76" s="55" t="s">
        <v>2436</v>
      </c>
      <c r="E76" s="72" t="s">
        <v>2435</v>
      </c>
    </row>
    <row r="78" spans="1:5" ht="14.25">
      <c r="A78" s="69" t="s">
        <v>100</v>
      </c>
      <c r="B78" s="70"/>
    </row>
    <row r="79" spans="1:5" ht="15">
      <c r="A79" s="71" t="s">
        <v>0</v>
      </c>
      <c r="B79" s="71" t="s">
        <v>93</v>
      </c>
      <c r="C79" s="71" t="s">
        <v>94</v>
      </c>
      <c r="D79" s="71" t="s">
        <v>7</v>
      </c>
      <c r="E79" s="71" t="s">
        <v>95</v>
      </c>
    </row>
    <row r="80" spans="1:5">
      <c r="A80" s="68" t="s">
        <v>2434</v>
      </c>
      <c r="B80" s="55" t="s">
        <v>100</v>
      </c>
      <c r="C80" s="55" t="s">
        <v>310</v>
      </c>
      <c r="D80" s="55" t="s">
        <v>2433</v>
      </c>
      <c r="E80" s="72" t="s">
        <v>2432</v>
      </c>
    </row>
    <row r="81" spans="1:5">
      <c r="A81" s="68" t="s">
        <v>2390</v>
      </c>
      <c r="B81" s="55" t="s">
        <v>100</v>
      </c>
      <c r="C81" s="55" t="s">
        <v>101</v>
      </c>
      <c r="D81" s="55" t="s">
        <v>2389</v>
      </c>
      <c r="E81" s="72" t="s">
        <v>2431</v>
      </c>
    </row>
    <row r="82" spans="1:5">
      <c r="A82" s="68" t="s">
        <v>2430</v>
      </c>
      <c r="B82" s="55" t="s">
        <v>100</v>
      </c>
      <c r="C82" s="55" t="s">
        <v>104</v>
      </c>
      <c r="D82" s="55" t="s">
        <v>2429</v>
      </c>
      <c r="E82" s="72" t="s">
        <v>2428</v>
      </c>
    </row>
    <row r="83" spans="1:5">
      <c r="A83" s="68" t="s">
        <v>2427</v>
      </c>
      <c r="B83" s="55" t="s">
        <v>100</v>
      </c>
      <c r="C83" s="55" t="s">
        <v>111</v>
      </c>
      <c r="D83" s="55" t="s">
        <v>2426</v>
      </c>
      <c r="E83" s="72" t="s">
        <v>2425</v>
      </c>
    </row>
    <row r="84" spans="1:5">
      <c r="A84" s="68" t="s">
        <v>2424</v>
      </c>
      <c r="B84" s="55" t="s">
        <v>100</v>
      </c>
      <c r="C84" s="55" t="s">
        <v>104</v>
      </c>
      <c r="D84" s="55" t="s">
        <v>2423</v>
      </c>
      <c r="E84" s="72" t="s">
        <v>2422</v>
      </c>
    </row>
    <row r="85" spans="1:5">
      <c r="A85" s="68" t="s">
        <v>2421</v>
      </c>
      <c r="B85" s="55" t="s">
        <v>100</v>
      </c>
      <c r="C85" s="55" t="s">
        <v>101</v>
      </c>
      <c r="D85" s="55" t="s">
        <v>2420</v>
      </c>
      <c r="E85" s="72" t="s">
        <v>2419</v>
      </c>
    </row>
    <row r="86" spans="1:5">
      <c r="A86" s="68" t="s">
        <v>2418</v>
      </c>
      <c r="B86" s="55" t="s">
        <v>100</v>
      </c>
      <c r="C86" s="55" t="s">
        <v>104</v>
      </c>
      <c r="D86" s="55" t="s">
        <v>2417</v>
      </c>
      <c r="E86" s="72" t="s">
        <v>2416</v>
      </c>
    </row>
    <row r="87" spans="1:5">
      <c r="A87" s="68" t="s">
        <v>486</v>
      </c>
      <c r="B87" s="55" t="s">
        <v>100</v>
      </c>
      <c r="C87" s="55" t="s">
        <v>293</v>
      </c>
      <c r="D87" s="55" t="s">
        <v>2415</v>
      </c>
      <c r="E87" s="72" t="s">
        <v>2414</v>
      </c>
    </row>
    <row r="88" spans="1:5">
      <c r="A88" s="68" t="s">
        <v>2387</v>
      </c>
      <c r="B88" s="55" t="s">
        <v>100</v>
      </c>
      <c r="C88" s="55" t="s">
        <v>304</v>
      </c>
      <c r="D88" s="55" t="s">
        <v>2386</v>
      </c>
      <c r="E88" s="72" t="s">
        <v>2413</v>
      </c>
    </row>
    <row r="89" spans="1:5">
      <c r="A89" s="68" t="s">
        <v>2412</v>
      </c>
      <c r="B89" s="55" t="s">
        <v>100</v>
      </c>
      <c r="C89" s="55" t="s">
        <v>104</v>
      </c>
      <c r="D89" s="55" t="s">
        <v>2411</v>
      </c>
      <c r="E89" s="72" t="s">
        <v>2410</v>
      </c>
    </row>
    <row r="90" spans="1:5">
      <c r="A90" s="68" t="s">
        <v>2409</v>
      </c>
      <c r="B90" s="55" t="s">
        <v>100</v>
      </c>
      <c r="C90" s="55" t="s">
        <v>101</v>
      </c>
      <c r="D90" s="55" t="s">
        <v>2408</v>
      </c>
      <c r="E90" s="72" t="s">
        <v>2407</v>
      </c>
    </row>
    <row r="91" spans="1:5">
      <c r="A91" s="68" t="s">
        <v>2406</v>
      </c>
      <c r="B91" s="55" t="s">
        <v>100</v>
      </c>
      <c r="C91" s="55" t="s">
        <v>97</v>
      </c>
      <c r="D91" s="55" t="s">
        <v>2405</v>
      </c>
      <c r="E91" s="72" t="s">
        <v>2404</v>
      </c>
    </row>
    <row r="92" spans="1:5">
      <c r="A92" s="68" t="s">
        <v>2403</v>
      </c>
      <c r="B92" s="55" t="s">
        <v>100</v>
      </c>
      <c r="C92" s="55" t="s">
        <v>310</v>
      </c>
      <c r="D92" s="55" t="s">
        <v>2402</v>
      </c>
      <c r="E92" s="72" t="s">
        <v>2401</v>
      </c>
    </row>
    <row r="93" spans="1:5">
      <c r="A93" s="68" t="s">
        <v>2400</v>
      </c>
      <c r="B93" s="55" t="s">
        <v>100</v>
      </c>
      <c r="C93" s="55" t="s">
        <v>310</v>
      </c>
      <c r="D93" s="55" t="s">
        <v>2399</v>
      </c>
      <c r="E93" s="72" t="s">
        <v>2398</v>
      </c>
    </row>
    <row r="94" spans="1:5">
      <c r="A94" s="68" t="s">
        <v>2397</v>
      </c>
      <c r="B94" s="55" t="s">
        <v>100</v>
      </c>
      <c r="C94" s="55" t="s">
        <v>111</v>
      </c>
      <c r="D94" s="55" t="s">
        <v>2396</v>
      </c>
      <c r="E94" s="72" t="s">
        <v>2395</v>
      </c>
    </row>
    <row r="95" spans="1:5">
      <c r="A95" s="68" t="s">
        <v>57</v>
      </c>
      <c r="B95" s="55" t="s">
        <v>100</v>
      </c>
      <c r="C95" s="55" t="s">
        <v>104</v>
      </c>
      <c r="D95" s="55" t="s">
        <v>2394</v>
      </c>
      <c r="E95" s="72" t="s">
        <v>2393</v>
      </c>
    </row>
    <row r="96" spans="1:5">
      <c r="A96" s="68" t="s">
        <v>622</v>
      </c>
      <c r="B96" s="55" t="s">
        <v>100</v>
      </c>
      <c r="C96" s="55" t="s">
        <v>654</v>
      </c>
      <c r="D96" s="55" t="s">
        <v>2392</v>
      </c>
      <c r="E96" s="72" t="s">
        <v>2391</v>
      </c>
    </row>
    <row r="98" spans="1:5" ht="14.25">
      <c r="A98" s="69" t="s">
        <v>297</v>
      </c>
      <c r="B98" s="70"/>
    </row>
    <row r="99" spans="1:5" ht="15">
      <c r="A99" s="71" t="s">
        <v>0</v>
      </c>
      <c r="B99" s="71" t="s">
        <v>93</v>
      </c>
      <c r="C99" s="71" t="s">
        <v>94</v>
      </c>
      <c r="D99" s="71" t="s">
        <v>7</v>
      </c>
      <c r="E99" s="71" t="s">
        <v>95</v>
      </c>
    </row>
    <row r="100" spans="1:5">
      <c r="A100" s="68" t="s">
        <v>2390</v>
      </c>
      <c r="B100" s="55" t="s">
        <v>435</v>
      </c>
      <c r="C100" s="55" t="s">
        <v>101</v>
      </c>
      <c r="D100" s="55" t="s">
        <v>2389</v>
      </c>
      <c r="E100" s="72" t="s">
        <v>2388</v>
      </c>
    </row>
    <row r="101" spans="1:5">
      <c r="A101" s="68" t="s">
        <v>2387</v>
      </c>
      <c r="B101" s="55" t="s">
        <v>343</v>
      </c>
      <c r="C101" s="55" t="s">
        <v>304</v>
      </c>
      <c r="D101" s="55" t="s">
        <v>2386</v>
      </c>
      <c r="E101" s="72" t="s">
        <v>2385</v>
      </c>
    </row>
    <row r="102" spans="1:5">
      <c r="A102" s="68" t="s">
        <v>2384</v>
      </c>
      <c r="B102" s="55" t="s">
        <v>435</v>
      </c>
      <c r="C102" s="55" t="s">
        <v>310</v>
      </c>
      <c r="D102" s="55" t="s">
        <v>2383</v>
      </c>
      <c r="E102" s="72" t="s">
        <v>2382</v>
      </c>
    </row>
    <row r="103" spans="1:5">
      <c r="A103" s="68" t="s">
        <v>602</v>
      </c>
      <c r="B103" s="55" t="s">
        <v>343</v>
      </c>
      <c r="C103" s="55" t="s">
        <v>304</v>
      </c>
      <c r="D103" s="55" t="s">
        <v>2381</v>
      </c>
      <c r="E103" s="72" t="s">
        <v>2380</v>
      </c>
    </row>
    <row r="104" spans="1:5">
      <c r="A104" s="68" t="s">
        <v>2379</v>
      </c>
      <c r="B104" s="55" t="s">
        <v>298</v>
      </c>
      <c r="C104" s="55" t="s">
        <v>310</v>
      </c>
      <c r="D104" s="55" t="s">
        <v>2378</v>
      </c>
      <c r="E104" s="72" t="s">
        <v>2377</v>
      </c>
    </row>
    <row r="105" spans="1:5">
      <c r="A105" s="68" t="s">
        <v>2376</v>
      </c>
      <c r="B105" s="55" t="s">
        <v>343</v>
      </c>
      <c r="C105" s="55" t="s">
        <v>101</v>
      </c>
      <c r="D105" s="55" t="s">
        <v>2375</v>
      </c>
      <c r="E105" s="72" t="s">
        <v>2374</v>
      </c>
    </row>
    <row r="106" spans="1:5">
      <c r="A106" s="68" t="s">
        <v>581</v>
      </c>
      <c r="B106" s="55" t="s">
        <v>298</v>
      </c>
      <c r="C106" s="55" t="s">
        <v>101</v>
      </c>
      <c r="D106" s="55" t="s">
        <v>2373</v>
      </c>
      <c r="E106" s="72" t="s">
        <v>2372</v>
      </c>
    </row>
    <row r="107" spans="1:5">
      <c r="A107" s="68" t="s">
        <v>614</v>
      </c>
      <c r="B107" s="55" t="s">
        <v>435</v>
      </c>
      <c r="C107" s="55" t="s">
        <v>304</v>
      </c>
      <c r="D107" s="55" t="s">
        <v>2371</v>
      </c>
      <c r="E107" s="72" t="s">
        <v>2370</v>
      </c>
    </row>
    <row r="108" spans="1:5">
      <c r="A108" s="68" t="s">
        <v>598</v>
      </c>
      <c r="B108" s="55" t="s">
        <v>343</v>
      </c>
      <c r="C108" s="55" t="s">
        <v>304</v>
      </c>
      <c r="D108" s="55" t="s">
        <v>2369</v>
      </c>
      <c r="E108" s="72" t="s">
        <v>2368</v>
      </c>
    </row>
    <row r="109" spans="1:5">
      <c r="A109" s="68" t="s">
        <v>538</v>
      </c>
      <c r="B109" s="55" t="s">
        <v>661</v>
      </c>
      <c r="C109" s="55" t="s">
        <v>111</v>
      </c>
      <c r="D109" s="55" t="s">
        <v>2367</v>
      </c>
      <c r="E109" s="72" t="s">
        <v>2366</v>
      </c>
    </row>
    <row r="110" spans="1:5">
      <c r="A110" s="68" t="s">
        <v>530</v>
      </c>
      <c r="B110" s="55" t="s">
        <v>659</v>
      </c>
      <c r="C110" s="55" t="s">
        <v>111</v>
      </c>
      <c r="D110" s="55" t="s">
        <v>2365</v>
      </c>
      <c r="E110" s="72" t="s">
        <v>2364</v>
      </c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20:L20"/>
    <mergeCell ref="A23:L23"/>
    <mergeCell ref="A30:L30"/>
    <mergeCell ref="A39:L39"/>
    <mergeCell ref="A47:L47"/>
    <mergeCell ref="A54:L5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33"/>
  <sheetViews>
    <sheetView workbookViewId="0">
      <selection sqref="A1:M2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7.140625" style="55" bestFit="1" customWidth="1"/>
    <col min="7" max="7" width="5.5703125" style="55" bestFit="1" customWidth="1"/>
    <col min="8" max="8" width="7.5703125" style="55" bestFit="1" customWidth="1"/>
    <col min="9" max="9" width="2.140625" style="55" bestFit="1" customWidth="1"/>
    <col min="10" max="10" width="4.85546875" style="55" bestFit="1" customWidth="1"/>
    <col min="11" max="11" width="6.7109375" style="55" bestFit="1" customWidth="1"/>
    <col min="12" max="12" width="9.5703125" style="55" bestFit="1" customWidth="1"/>
    <col min="13" max="13" width="14.140625" style="55" bestFit="1" customWidth="1"/>
  </cols>
  <sheetData>
    <row r="1" spans="1:13" s="1" customFormat="1" ht="15" customHeight="1">
      <c r="A1" s="27" t="s">
        <v>2713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2516</v>
      </c>
      <c r="C3" s="13" t="s">
        <v>11</v>
      </c>
      <c r="D3" s="10" t="s">
        <v>1</v>
      </c>
      <c r="E3" s="10" t="s">
        <v>2</v>
      </c>
      <c r="F3" s="16" t="s">
        <v>3</v>
      </c>
      <c r="G3" s="10" t="s">
        <v>5</v>
      </c>
      <c r="H3" s="10"/>
      <c r="I3" s="10"/>
      <c r="J3" s="10"/>
      <c r="K3" s="10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2" t="s">
        <v>2515</v>
      </c>
      <c r="H4" s="2" t="s">
        <v>2514</v>
      </c>
      <c r="I4" s="2">
        <v>3</v>
      </c>
      <c r="J4" s="4" t="s">
        <v>10</v>
      </c>
      <c r="K4" s="14"/>
      <c r="L4" s="14"/>
      <c r="M4" s="15"/>
    </row>
    <row r="5" spans="1:13" ht="15">
      <c r="A5" s="35" t="s">
        <v>143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2605</v>
      </c>
      <c r="B6" s="56" t="s">
        <v>2668</v>
      </c>
      <c r="C6" s="56" t="s">
        <v>362</v>
      </c>
      <c r="D6" s="56" t="str">
        <f>"0,7484"</f>
        <v>0,7484</v>
      </c>
      <c r="E6" s="56" t="s">
        <v>17</v>
      </c>
      <c r="F6" s="56" t="s">
        <v>2667</v>
      </c>
      <c r="G6" s="56" t="s">
        <v>794</v>
      </c>
      <c r="H6" s="56" t="s">
        <v>2666</v>
      </c>
      <c r="I6" s="57"/>
      <c r="J6" s="57"/>
      <c r="K6" s="56">
        <v>3780</v>
      </c>
      <c r="L6" s="56" t="str">
        <f>"2828,9519"</f>
        <v>2828,9519</v>
      </c>
      <c r="M6" s="56"/>
    </row>
    <row r="8" spans="1:13" ht="15">
      <c r="A8" s="58" t="s">
        <v>189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9" t="s">
        <v>190</v>
      </c>
      <c r="B9" s="59" t="s">
        <v>191</v>
      </c>
      <c r="C9" s="59" t="s">
        <v>1227</v>
      </c>
      <c r="D9" s="59" t="str">
        <f>"0,6934"</f>
        <v>0,6934</v>
      </c>
      <c r="E9" s="59" t="s">
        <v>17</v>
      </c>
      <c r="F9" s="59" t="s">
        <v>193</v>
      </c>
      <c r="G9" s="59" t="s">
        <v>170</v>
      </c>
      <c r="H9" s="59" t="s">
        <v>2665</v>
      </c>
      <c r="I9" s="60"/>
      <c r="J9" s="60"/>
      <c r="K9" s="59">
        <v>4050</v>
      </c>
      <c r="L9" s="59" t="str">
        <f>"2808,0676"</f>
        <v>2808,0676</v>
      </c>
      <c r="M9" s="59"/>
    </row>
    <row r="10" spans="1:13">
      <c r="A10" s="61" t="s">
        <v>2580</v>
      </c>
      <c r="B10" s="61" t="s">
        <v>2664</v>
      </c>
      <c r="C10" s="61" t="s">
        <v>192</v>
      </c>
      <c r="D10" s="61" t="str">
        <f>"0,6885"</f>
        <v>0,6885</v>
      </c>
      <c r="E10" s="61" t="s">
        <v>17</v>
      </c>
      <c r="F10" s="61" t="s">
        <v>72</v>
      </c>
      <c r="G10" s="61" t="s">
        <v>170</v>
      </c>
      <c r="H10" s="61" t="s">
        <v>2637</v>
      </c>
      <c r="I10" s="62"/>
      <c r="J10" s="62"/>
      <c r="K10" s="61">
        <v>2550</v>
      </c>
      <c r="L10" s="61" t="str">
        <f>"1755,8025"</f>
        <v>1755,8025</v>
      </c>
      <c r="M10" s="61"/>
    </row>
    <row r="12" spans="1:13" ht="15">
      <c r="A12" s="58" t="s">
        <v>13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3">
      <c r="A13" s="59" t="s">
        <v>1492</v>
      </c>
      <c r="B13" s="59" t="s">
        <v>1493</v>
      </c>
      <c r="C13" s="59" t="s">
        <v>512</v>
      </c>
      <c r="D13" s="59" t="str">
        <f>"0,6497"</f>
        <v>0,6497</v>
      </c>
      <c r="E13" s="59" t="s">
        <v>17</v>
      </c>
      <c r="F13" s="59" t="s">
        <v>153</v>
      </c>
      <c r="G13" s="59" t="s">
        <v>1292</v>
      </c>
      <c r="H13" s="59" t="s">
        <v>2643</v>
      </c>
      <c r="I13" s="60"/>
      <c r="J13" s="60"/>
      <c r="K13" s="59">
        <v>3052.5</v>
      </c>
      <c r="L13" s="59" t="str">
        <f>"1983,3619"</f>
        <v>1983,3619</v>
      </c>
      <c r="M13" s="59"/>
    </row>
    <row r="14" spans="1:13">
      <c r="A14" s="63" t="s">
        <v>1476</v>
      </c>
      <c r="B14" s="63" t="s">
        <v>1477</v>
      </c>
      <c r="C14" s="63" t="s">
        <v>1471</v>
      </c>
      <c r="D14" s="63" t="str">
        <f>"0,6600"</f>
        <v>0,6600</v>
      </c>
      <c r="E14" s="63" t="s">
        <v>17</v>
      </c>
      <c r="F14" s="63" t="s">
        <v>1272</v>
      </c>
      <c r="G14" s="63" t="s">
        <v>131</v>
      </c>
      <c r="H14" s="63" t="s">
        <v>2471</v>
      </c>
      <c r="I14" s="64"/>
      <c r="J14" s="64"/>
      <c r="K14" s="63">
        <v>2880</v>
      </c>
      <c r="L14" s="63" t="str">
        <f>"1900,9439"</f>
        <v>1900,9439</v>
      </c>
      <c r="M14" s="63"/>
    </row>
    <row r="15" spans="1:13">
      <c r="A15" s="63" t="s">
        <v>2549</v>
      </c>
      <c r="B15" s="63" t="s">
        <v>2663</v>
      </c>
      <c r="C15" s="63" t="s">
        <v>2660</v>
      </c>
      <c r="D15" s="63" t="str">
        <f>"0,6755"</f>
        <v>0,6755</v>
      </c>
      <c r="E15" s="63" t="s">
        <v>17</v>
      </c>
      <c r="F15" s="63" t="s">
        <v>147</v>
      </c>
      <c r="G15" s="63" t="s">
        <v>772</v>
      </c>
      <c r="H15" s="63" t="s">
        <v>1360</v>
      </c>
      <c r="I15" s="64"/>
      <c r="J15" s="64"/>
      <c r="K15" s="63">
        <v>2712.5</v>
      </c>
      <c r="L15" s="63" t="str">
        <f>"1832,2937"</f>
        <v>1832,2937</v>
      </c>
      <c r="M15" s="63"/>
    </row>
    <row r="16" spans="1:13">
      <c r="A16" s="63" t="s">
        <v>1486</v>
      </c>
      <c r="B16" s="63" t="s">
        <v>1487</v>
      </c>
      <c r="C16" s="63" t="s">
        <v>1488</v>
      </c>
      <c r="D16" s="63" t="str">
        <f>"0,6761"</f>
        <v>0,6761</v>
      </c>
      <c r="E16" s="63" t="s">
        <v>584</v>
      </c>
      <c r="F16" s="63" t="s">
        <v>72</v>
      </c>
      <c r="G16" s="63" t="s">
        <v>772</v>
      </c>
      <c r="H16" s="63" t="s">
        <v>2662</v>
      </c>
      <c r="I16" s="64"/>
      <c r="J16" s="64"/>
      <c r="K16" s="63">
        <v>1860</v>
      </c>
      <c r="L16" s="63" t="str">
        <f>"1257,5460"</f>
        <v>1257,5460</v>
      </c>
      <c r="M16" s="63"/>
    </row>
    <row r="17" spans="1:13">
      <c r="A17" s="63" t="s">
        <v>2549</v>
      </c>
      <c r="B17" s="63" t="s">
        <v>2661</v>
      </c>
      <c r="C17" s="63" t="s">
        <v>2660</v>
      </c>
      <c r="D17" s="63" t="str">
        <f>"0,6964"</f>
        <v>0,6964</v>
      </c>
      <c r="E17" s="63" t="s">
        <v>17</v>
      </c>
      <c r="F17" s="63" t="s">
        <v>147</v>
      </c>
      <c r="G17" s="63" t="s">
        <v>772</v>
      </c>
      <c r="H17" s="63" t="s">
        <v>1360</v>
      </c>
      <c r="I17" s="64"/>
      <c r="J17" s="64"/>
      <c r="K17" s="63">
        <v>2712.5</v>
      </c>
      <c r="L17" s="63" t="str">
        <f>"1889,0947"</f>
        <v>1889,0947</v>
      </c>
      <c r="M17" s="63"/>
    </row>
    <row r="18" spans="1:13">
      <c r="A18" s="63" t="s">
        <v>1496</v>
      </c>
      <c r="B18" s="63" t="s">
        <v>514</v>
      </c>
      <c r="C18" s="63" t="s">
        <v>2659</v>
      </c>
      <c r="D18" s="63" t="str">
        <f>"0,7111"</f>
        <v>0,7111</v>
      </c>
      <c r="E18" s="63" t="s">
        <v>17</v>
      </c>
      <c r="F18" s="63" t="s">
        <v>1320</v>
      </c>
      <c r="G18" s="63" t="s">
        <v>1292</v>
      </c>
      <c r="H18" s="63" t="s">
        <v>2471</v>
      </c>
      <c r="I18" s="64"/>
      <c r="J18" s="64"/>
      <c r="K18" s="63">
        <v>2970</v>
      </c>
      <c r="L18" s="63" t="str">
        <f>"2111,8938"</f>
        <v>2111,8938</v>
      </c>
      <c r="M18" s="63"/>
    </row>
    <row r="19" spans="1:13">
      <c r="A19" s="61" t="s">
        <v>1497</v>
      </c>
      <c r="B19" s="61" t="s">
        <v>1498</v>
      </c>
      <c r="C19" s="61" t="s">
        <v>2658</v>
      </c>
      <c r="D19" s="61" t="str">
        <f>"0,7557"</f>
        <v>0,7557</v>
      </c>
      <c r="E19" s="61" t="s">
        <v>532</v>
      </c>
      <c r="F19" s="61" t="s">
        <v>532</v>
      </c>
      <c r="G19" s="61" t="s">
        <v>131</v>
      </c>
      <c r="H19" s="61" t="s">
        <v>2654</v>
      </c>
      <c r="I19" s="62"/>
      <c r="J19" s="62"/>
      <c r="K19" s="61">
        <v>1200</v>
      </c>
      <c r="L19" s="61" t="str">
        <f>"906,8250"</f>
        <v>906,8250</v>
      </c>
      <c r="M19" s="61"/>
    </row>
    <row r="21" spans="1:13" ht="15">
      <c r="A21" s="58" t="s">
        <v>25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3">
      <c r="A22" s="59" t="s">
        <v>2600</v>
      </c>
      <c r="B22" s="59" t="s">
        <v>2657</v>
      </c>
      <c r="C22" s="59" t="s">
        <v>913</v>
      </c>
      <c r="D22" s="59" t="str">
        <f>"0,6137"</f>
        <v>0,6137</v>
      </c>
      <c r="E22" s="59" t="s">
        <v>17</v>
      </c>
      <c r="F22" s="59" t="s">
        <v>464</v>
      </c>
      <c r="G22" s="59" t="s">
        <v>132</v>
      </c>
      <c r="H22" s="59" t="s">
        <v>2457</v>
      </c>
      <c r="I22" s="60"/>
      <c r="J22" s="60"/>
      <c r="K22" s="59">
        <v>3870</v>
      </c>
      <c r="L22" s="59" t="str">
        <f>"2375,2124"</f>
        <v>2375,2124</v>
      </c>
      <c r="M22" s="59"/>
    </row>
    <row r="23" spans="1:13">
      <c r="A23" s="63" t="s">
        <v>1519</v>
      </c>
      <c r="B23" s="63" t="s">
        <v>1520</v>
      </c>
      <c r="C23" s="63" t="s">
        <v>922</v>
      </c>
      <c r="D23" s="63" t="str">
        <f>"0,6165"</f>
        <v>0,6165</v>
      </c>
      <c r="E23" s="63" t="s">
        <v>17</v>
      </c>
      <c r="F23" s="63" t="s">
        <v>159</v>
      </c>
      <c r="G23" s="63" t="s">
        <v>132</v>
      </c>
      <c r="H23" s="63" t="s">
        <v>2489</v>
      </c>
      <c r="I23" s="64"/>
      <c r="J23" s="64"/>
      <c r="K23" s="63">
        <v>2790</v>
      </c>
      <c r="L23" s="63" t="str">
        <f>"1719,8955"</f>
        <v>1719,8955</v>
      </c>
      <c r="M23" s="63"/>
    </row>
    <row r="24" spans="1:13">
      <c r="A24" s="63" t="s">
        <v>2561</v>
      </c>
      <c r="B24" s="63" t="s">
        <v>2656</v>
      </c>
      <c r="C24" s="63" t="s">
        <v>2655</v>
      </c>
      <c r="D24" s="63" t="str">
        <f>"0,6335"</f>
        <v>0,6335</v>
      </c>
      <c r="E24" s="63" t="s">
        <v>17</v>
      </c>
      <c r="F24" s="63" t="s">
        <v>29</v>
      </c>
      <c r="G24" s="63" t="s">
        <v>155</v>
      </c>
      <c r="H24" s="63" t="s">
        <v>2654</v>
      </c>
      <c r="I24" s="64"/>
      <c r="J24" s="64"/>
      <c r="K24" s="63">
        <v>1275</v>
      </c>
      <c r="L24" s="63" t="str">
        <f>"807,7125"</f>
        <v>807,7125</v>
      </c>
      <c r="M24" s="63"/>
    </row>
    <row r="25" spans="1:13">
      <c r="A25" s="63" t="s">
        <v>2547</v>
      </c>
      <c r="B25" s="63" t="s">
        <v>1541</v>
      </c>
      <c r="C25" s="63" t="s">
        <v>39</v>
      </c>
      <c r="D25" s="63" t="str">
        <f>"0,6119"</f>
        <v>0,6119</v>
      </c>
      <c r="E25" s="63" t="s">
        <v>17</v>
      </c>
      <c r="F25" s="63" t="s">
        <v>1542</v>
      </c>
      <c r="G25" s="63" t="s">
        <v>132</v>
      </c>
      <c r="H25" s="63" t="s">
        <v>2632</v>
      </c>
      <c r="I25" s="64"/>
      <c r="J25" s="64"/>
      <c r="K25" s="63">
        <v>2880</v>
      </c>
      <c r="L25" s="63" t="str">
        <f>"1762,1281"</f>
        <v>1762,1281</v>
      </c>
      <c r="M25" s="63"/>
    </row>
    <row r="26" spans="1:13">
      <c r="A26" s="63" t="s">
        <v>2540</v>
      </c>
      <c r="B26" s="63" t="s">
        <v>2653</v>
      </c>
      <c r="C26" s="63" t="s">
        <v>2652</v>
      </c>
      <c r="D26" s="63" t="str">
        <f>"0,6530"</f>
        <v>0,6530</v>
      </c>
      <c r="E26" s="63" t="s">
        <v>17</v>
      </c>
      <c r="F26" s="63" t="s">
        <v>215</v>
      </c>
      <c r="G26" s="63" t="s">
        <v>155</v>
      </c>
      <c r="H26" s="63" t="s">
        <v>2450</v>
      </c>
      <c r="I26" s="64"/>
      <c r="J26" s="64"/>
      <c r="K26" s="63">
        <v>2295</v>
      </c>
      <c r="L26" s="63" t="str">
        <f>"1498,5272"</f>
        <v>1498,5272</v>
      </c>
      <c r="M26" s="63"/>
    </row>
    <row r="27" spans="1:13">
      <c r="A27" s="63" t="s">
        <v>924</v>
      </c>
      <c r="B27" s="63" t="s">
        <v>925</v>
      </c>
      <c r="C27" s="63" t="s">
        <v>518</v>
      </c>
      <c r="D27" s="63" t="str">
        <f>"0,6582"</f>
        <v>0,6582</v>
      </c>
      <c r="E27" s="63" t="s">
        <v>17</v>
      </c>
      <c r="F27" s="63" t="s">
        <v>927</v>
      </c>
      <c r="G27" s="63" t="s">
        <v>465</v>
      </c>
      <c r="H27" s="63" t="s">
        <v>2617</v>
      </c>
      <c r="I27" s="64"/>
      <c r="J27" s="64"/>
      <c r="K27" s="63">
        <v>2275</v>
      </c>
      <c r="L27" s="63" t="str">
        <f>"1497,3180"</f>
        <v>1497,3180</v>
      </c>
      <c r="M27" s="63"/>
    </row>
    <row r="28" spans="1:13">
      <c r="A28" s="63" t="s">
        <v>2518</v>
      </c>
      <c r="B28" s="63" t="s">
        <v>2651</v>
      </c>
      <c r="C28" s="63" t="s">
        <v>521</v>
      </c>
      <c r="D28" s="63" t="str">
        <f>"0,6605"</f>
        <v>0,6605</v>
      </c>
      <c r="E28" s="63" t="s">
        <v>17</v>
      </c>
      <c r="F28" s="63" t="s">
        <v>2650</v>
      </c>
      <c r="G28" s="63" t="s">
        <v>132</v>
      </c>
      <c r="H28" s="63" t="s">
        <v>2488</v>
      </c>
      <c r="I28" s="64"/>
      <c r="J28" s="64"/>
      <c r="K28" s="63">
        <v>1170</v>
      </c>
      <c r="L28" s="63" t="str">
        <f>"772,7904"</f>
        <v>772,7904</v>
      </c>
      <c r="M28" s="63"/>
    </row>
    <row r="29" spans="1:13">
      <c r="A29" s="61" t="s">
        <v>530</v>
      </c>
      <c r="B29" s="61" t="s">
        <v>531</v>
      </c>
      <c r="C29" s="61" t="s">
        <v>39</v>
      </c>
      <c r="D29" s="61" t="str">
        <f>"0,7758"</f>
        <v>0,7758</v>
      </c>
      <c r="E29" s="61" t="s">
        <v>532</v>
      </c>
      <c r="F29" s="61" t="s">
        <v>532</v>
      </c>
      <c r="G29" s="61" t="s">
        <v>132</v>
      </c>
      <c r="H29" s="61" t="s">
        <v>2488</v>
      </c>
      <c r="I29" s="62"/>
      <c r="J29" s="62"/>
      <c r="K29" s="61">
        <v>1170</v>
      </c>
      <c r="L29" s="61" t="str">
        <f>"907,7163"</f>
        <v>907,7163</v>
      </c>
      <c r="M29" s="61"/>
    </row>
    <row r="31" spans="1:13" ht="15">
      <c r="A31" s="58" t="s">
        <v>47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3">
      <c r="A32" s="59" t="s">
        <v>2610</v>
      </c>
      <c r="B32" s="59" t="s">
        <v>220</v>
      </c>
      <c r="C32" s="59" t="s">
        <v>2649</v>
      </c>
      <c r="D32" s="59" t="str">
        <f>"0,6054"</f>
        <v>0,6054</v>
      </c>
      <c r="E32" s="59" t="s">
        <v>17</v>
      </c>
      <c r="F32" s="59" t="s">
        <v>29</v>
      </c>
      <c r="G32" s="59" t="s">
        <v>359</v>
      </c>
      <c r="H32" s="59" t="s">
        <v>2648</v>
      </c>
      <c r="I32" s="60"/>
      <c r="J32" s="60"/>
      <c r="K32" s="59">
        <v>1295</v>
      </c>
      <c r="L32" s="59" t="str">
        <f>"783,9283"</f>
        <v>783,9283</v>
      </c>
      <c r="M32" s="59"/>
    </row>
    <row r="33" spans="1:13">
      <c r="A33" s="63" t="s">
        <v>2594</v>
      </c>
      <c r="B33" s="63" t="s">
        <v>2647</v>
      </c>
      <c r="C33" s="63" t="s">
        <v>2646</v>
      </c>
      <c r="D33" s="63" t="str">
        <f>"0,6036"</f>
        <v>0,6036</v>
      </c>
      <c r="E33" s="63" t="s">
        <v>17</v>
      </c>
      <c r="F33" s="63" t="s">
        <v>1722</v>
      </c>
      <c r="G33" s="63" t="s">
        <v>359</v>
      </c>
      <c r="H33" s="63" t="s">
        <v>2466</v>
      </c>
      <c r="I33" s="64"/>
      <c r="J33" s="64"/>
      <c r="K33" s="63">
        <v>3607.5</v>
      </c>
      <c r="L33" s="63" t="str">
        <f>"2177,6673"</f>
        <v>2177,6673</v>
      </c>
      <c r="M33" s="63"/>
    </row>
    <row r="34" spans="1:13">
      <c r="A34" s="63" t="s">
        <v>2591</v>
      </c>
      <c r="B34" s="63" t="s">
        <v>2645</v>
      </c>
      <c r="C34" s="63" t="s">
        <v>2644</v>
      </c>
      <c r="D34" s="63" t="str">
        <f>"0,6064"</f>
        <v>0,6064</v>
      </c>
      <c r="E34" s="63" t="s">
        <v>17</v>
      </c>
      <c r="F34" s="63" t="s">
        <v>2479</v>
      </c>
      <c r="G34" s="63" t="s">
        <v>359</v>
      </c>
      <c r="H34" s="63" t="s">
        <v>2643</v>
      </c>
      <c r="I34" s="64"/>
      <c r="J34" s="64"/>
      <c r="K34" s="63">
        <v>3422.5</v>
      </c>
      <c r="L34" s="63" t="str">
        <f>"2075,4040"</f>
        <v>2075,4040</v>
      </c>
      <c r="M34" s="63" t="s">
        <v>2642</v>
      </c>
    </row>
    <row r="35" spans="1:13">
      <c r="A35" s="63" t="s">
        <v>2518</v>
      </c>
      <c r="B35" s="63" t="s">
        <v>2641</v>
      </c>
      <c r="C35" s="63" t="s">
        <v>2476</v>
      </c>
      <c r="D35" s="63" t="str">
        <f>"0,5896"</f>
        <v>0,5896</v>
      </c>
      <c r="E35" s="63" t="s">
        <v>17</v>
      </c>
      <c r="F35" s="63" t="s">
        <v>2633</v>
      </c>
      <c r="G35" s="63" t="s">
        <v>477</v>
      </c>
      <c r="H35" s="63" t="s">
        <v>2632</v>
      </c>
      <c r="I35" s="64"/>
      <c r="J35" s="64"/>
      <c r="K35" s="63">
        <v>3120</v>
      </c>
      <c r="L35" s="63" t="str">
        <f>"1839,7079"</f>
        <v>1839,7079</v>
      </c>
      <c r="M35" s="63" t="s">
        <v>2631</v>
      </c>
    </row>
    <row r="36" spans="1:13">
      <c r="A36" s="63" t="s">
        <v>2574</v>
      </c>
      <c r="B36" s="63" t="s">
        <v>2640</v>
      </c>
      <c r="C36" s="63" t="s">
        <v>950</v>
      </c>
      <c r="D36" s="63" t="str">
        <f>"0,5821"</f>
        <v>0,5821</v>
      </c>
      <c r="E36" s="63" t="s">
        <v>17</v>
      </c>
      <c r="F36" s="63" t="s">
        <v>2639</v>
      </c>
      <c r="G36" s="63" t="s">
        <v>135</v>
      </c>
      <c r="H36" s="63" t="s">
        <v>2617</v>
      </c>
      <c r="I36" s="64"/>
      <c r="J36" s="64"/>
      <c r="K36" s="63">
        <v>2600</v>
      </c>
      <c r="L36" s="63" t="str">
        <f>"1513,3301"</f>
        <v>1513,3301</v>
      </c>
      <c r="M36" s="63"/>
    </row>
    <row r="37" spans="1:13">
      <c r="A37" s="63" t="s">
        <v>2552</v>
      </c>
      <c r="B37" s="63" t="s">
        <v>2638</v>
      </c>
      <c r="C37" s="63" t="s">
        <v>1562</v>
      </c>
      <c r="D37" s="63" t="str">
        <f>"0,6263"</f>
        <v>0,6263</v>
      </c>
      <c r="E37" s="63" t="s">
        <v>17</v>
      </c>
      <c r="F37" s="63" t="s">
        <v>2017</v>
      </c>
      <c r="G37" s="63" t="s">
        <v>359</v>
      </c>
      <c r="H37" s="63" t="s">
        <v>2637</v>
      </c>
      <c r="I37" s="64"/>
      <c r="J37" s="64"/>
      <c r="K37" s="63">
        <v>3145</v>
      </c>
      <c r="L37" s="63" t="str">
        <f>"1969,8158"</f>
        <v>1969,8158</v>
      </c>
      <c r="M37" s="63"/>
    </row>
    <row r="38" spans="1:13">
      <c r="A38" s="63" t="s">
        <v>1593</v>
      </c>
      <c r="B38" s="63" t="s">
        <v>1594</v>
      </c>
      <c r="C38" s="63" t="s">
        <v>2636</v>
      </c>
      <c r="D38" s="63" t="str">
        <f>"0,6529"</f>
        <v>0,6529</v>
      </c>
      <c r="E38" s="63" t="s">
        <v>17</v>
      </c>
      <c r="F38" s="63" t="s">
        <v>1596</v>
      </c>
      <c r="G38" s="63" t="s">
        <v>121</v>
      </c>
      <c r="H38" s="63" t="s">
        <v>2635</v>
      </c>
      <c r="I38" s="64"/>
      <c r="J38" s="64"/>
      <c r="K38" s="63">
        <v>3610</v>
      </c>
      <c r="L38" s="63" t="str">
        <f>"2357,0933"</f>
        <v>2357,0933</v>
      </c>
      <c r="M38" s="63"/>
    </row>
    <row r="39" spans="1:13">
      <c r="A39" s="63" t="s">
        <v>2518</v>
      </c>
      <c r="B39" s="63" t="s">
        <v>2634</v>
      </c>
      <c r="C39" s="63" t="s">
        <v>2476</v>
      </c>
      <c r="D39" s="63" t="str">
        <f>"0,6468"</f>
        <v>0,6468</v>
      </c>
      <c r="E39" s="63" t="s">
        <v>17</v>
      </c>
      <c r="F39" s="63" t="s">
        <v>2633</v>
      </c>
      <c r="G39" s="63" t="s">
        <v>477</v>
      </c>
      <c r="H39" s="63" t="s">
        <v>2632</v>
      </c>
      <c r="I39" s="64"/>
      <c r="J39" s="64"/>
      <c r="K39" s="63">
        <v>3120</v>
      </c>
      <c r="L39" s="63" t="str">
        <f>"2018,1595"</f>
        <v>2018,1595</v>
      </c>
      <c r="M39" s="63" t="s">
        <v>2631</v>
      </c>
    </row>
    <row r="40" spans="1:13">
      <c r="A40" s="61" t="s">
        <v>1597</v>
      </c>
      <c r="B40" s="61" t="s">
        <v>1598</v>
      </c>
      <c r="C40" s="61" t="s">
        <v>248</v>
      </c>
      <c r="D40" s="61" t="str">
        <f>"0,6337"</f>
        <v>0,6337</v>
      </c>
      <c r="E40" s="61" t="s">
        <v>17</v>
      </c>
      <c r="F40" s="61" t="s">
        <v>29</v>
      </c>
      <c r="G40" s="61" t="s">
        <v>121</v>
      </c>
      <c r="H40" s="61" t="s">
        <v>2450</v>
      </c>
      <c r="I40" s="62"/>
      <c r="J40" s="62"/>
      <c r="K40" s="61">
        <v>2565</v>
      </c>
      <c r="L40" s="61" t="str">
        <f>"1625,4040"</f>
        <v>1625,4040</v>
      </c>
      <c r="M40" s="61"/>
    </row>
    <row r="42" spans="1:13" ht="15">
      <c r="A42" s="58" t="s">
        <v>68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3">
      <c r="A43" s="59" t="s">
        <v>2597</v>
      </c>
      <c r="B43" s="59" t="s">
        <v>2630</v>
      </c>
      <c r="C43" s="59" t="s">
        <v>2629</v>
      </c>
      <c r="D43" s="59" t="str">
        <f>"0,5776"</f>
        <v>0,5776</v>
      </c>
      <c r="E43" s="59" t="s">
        <v>17</v>
      </c>
      <c r="F43" s="59" t="s">
        <v>2628</v>
      </c>
      <c r="G43" s="59" t="s">
        <v>122</v>
      </c>
      <c r="H43" s="59" t="s">
        <v>133</v>
      </c>
      <c r="I43" s="60"/>
      <c r="J43" s="60"/>
      <c r="K43" s="59">
        <v>4100</v>
      </c>
      <c r="L43" s="59" t="str">
        <f>"2368,1600"</f>
        <v>2368,1600</v>
      </c>
      <c r="M43" s="59"/>
    </row>
    <row r="44" spans="1:13">
      <c r="A44" s="63" t="s">
        <v>2577</v>
      </c>
      <c r="B44" s="63" t="s">
        <v>2627</v>
      </c>
      <c r="C44" s="63" t="s">
        <v>2626</v>
      </c>
      <c r="D44" s="63" t="str">
        <f>"0,5730"</f>
        <v>0,5730</v>
      </c>
      <c r="E44" s="63" t="s">
        <v>17</v>
      </c>
      <c r="F44" s="63" t="s">
        <v>1314</v>
      </c>
      <c r="G44" s="63" t="s">
        <v>136</v>
      </c>
      <c r="H44" s="63" t="s">
        <v>2450</v>
      </c>
      <c r="I44" s="64"/>
      <c r="J44" s="64"/>
      <c r="K44" s="63">
        <v>2835</v>
      </c>
      <c r="L44" s="63" t="str">
        <f>"1624,3133"</f>
        <v>1624,3133</v>
      </c>
      <c r="M44" s="63"/>
    </row>
    <row r="45" spans="1:13">
      <c r="A45" s="63" t="s">
        <v>1637</v>
      </c>
      <c r="B45" s="63" t="s">
        <v>2625</v>
      </c>
      <c r="C45" s="63" t="s">
        <v>252</v>
      </c>
      <c r="D45" s="63" t="str">
        <f>"0,5629"</f>
        <v>0,5629</v>
      </c>
      <c r="E45" s="63" t="s">
        <v>17</v>
      </c>
      <c r="F45" s="63" t="s">
        <v>72</v>
      </c>
      <c r="G45" s="63" t="s">
        <v>22</v>
      </c>
      <c r="H45" s="63" t="s">
        <v>2447</v>
      </c>
      <c r="I45" s="64"/>
      <c r="J45" s="64"/>
      <c r="K45" s="63">
        <v>2200</v>
      </c>
      <c r="L45" s="63" t="str">
        <f>"1238,3800"</f>
        <v>1238,3800</v>
      </c>
      <c r="M45" s="63"/>
    </row>
    <row r="46" spans="1:13">
      <c r="A46" s="63" t="s">
        <v>1617</v>
      </c>
      <c r="B46" s="63" t="s">
        <v>1631</v>
      </c>
      <c r="C46" s="63" t="s">
        <v>2624</v>
      </c>
      <c r="D46" s="63" t="str">
        <f>"0,5840"</f>
        <v>0,5840</v>
      </c>
      <c r="E46" s="63" t="s">
        <v>17</v>
      </c>
      <c r="F46" s="63" t="s">
        <v>1619</v>
      </c>
      <c r="G46" s="63" t="s">
        <v>123</v>
      </c>
      <c r="H46" s="63" t="s">
        <v>2617</v>
      </c>
      <c r="I46" s="64"/>
      <c r="J46" s="64"/>
      <c r="K46" s="63">
        <v>2795</v>
      </c>
      <c r="L46" s="63" t="str">
        <f>"1632,3078"</f>
        <v>1632,3078</v>
      </c>
      <c r="M46" s="63"/>
    </row>
    <row r="47" spans="1:13">
      <c r="A47" s="63" t="s">
        <v>1632</v>
      </c>
      <c r="B47" s="63" t="s">
        <v>1633</v>
      </c>
      <c r="C47" s="63" t="s">
        <v>1610</v>
      </c>
      <c r="D47" s="63" t="str">
        <f>"0,5712"</f>
        <v>0,5712</v>
      </c>
      <c r="E47" s="63" t="s">
        <v>17</v>
      </c>
      <c r="F47" s="63" t="s">
        <v>29</v>
      </c>
      <c r="G47" s="63" t="s">
        <v>22</v>
      </c>
      <c r="H47" s="63" t="s">
        <v>2616</v>
      </c>
      <c r="I47" s="64"/>
      <c r="J47" s="64"/>
      <c r="K47" s="63">
        <v>1980</v>
      </c>
      <c r="L47" s="63" t="str">
        <f>"1130,8869"</f>
        <v>1130,8869</v>
      </c>
      <c r="M47" s="63" t="s">
        <v>374</v>
      </c>
    </row>
    <row r="48" spans="1:13">
      <c r="A48" s="63" t="s">
        <v>1637</v>
      </c>
      <c r="B48" s="63" t="s">
        <v>1638</v>
      </c>
      <c r="C48" s="63" t="s">
        <v>252</v>
      </c>
      <c r="D48" s="63" t="str">
        <f>"0,6012"</f>
        <v>0,6012</v>
      </c>
      <c r="E48" s="63" t="s">
        <v>17</v>
      </c>
      <c r="F48" s="63" t="s">
        <v>72</v>
      </c>
      <c r="G48" s="63" t="s">
        <v>22</v>
      </c>
      <c r="H48" s="63" t="s">
        <v>2447</v>
      </c>
      <c r="I48" s="64"/>
      <c r="J48" s="64"/>
      <c r="K48" s="63">
        <v>2200</v>
      </c>
      <c r="L48" s="63" t="str">
        <f>"1322,5899"</f>
        <v>1322,5899</v>
      </c>
      <c r="M48" s="63"/>
    </row>
    <row r="49" spans="1:13">
      <c r="A49" s="61" t="s">
        <v>1639</v>
      </c>
      <c r="B49" s="61" t="s">
        <v>1640</v>
      </c>
      <c r="C49" s="61" t="s">
        <v>263</v>
      </c>
      <c r="D49" s="61" t="str">
        <f>"0,6822"</f>
        <v>0,6822</v>
      </c>
      <c r="E49" s="61" t="s">
        <v>17</v>
      </c>
      <c r="F49" s="61" t="s">
        <v>72</v>
      </c>
      <c r="G49" s="61" t="s">
        <v>123</v>
      </c>
      <c r="H49" s="61" t="s">
        <v>2449</v>
      </c>
      <c r="I49" s="62"/>
      <c r="J49" s="62"/>
      <c r="K49" s="61">
        <v>2042.5</v>
      </c>
      <c r="L49" s="61" t="str">
        <f>"1393,4886"</f>
        <v>1393,4886</v>
      </c>
      <c r="M49" s="61"/>
    </row>
    <row r="51" spans="1:13" ht="15">
      <c r="A51" s="58" t="s">
        <v>271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3">
      <c r="A52" s="59" t="s">
        <v>1660</v>
      </c>
      <c r="B52" s="59" t="s">
        <v>2212</v>
      </c>
      <c r="C52" s="59" t="s">
        <v>991</v>
      </c>
      <c r="D52" s="59" t="str">
        <f>"0,5490"</f>
        <v>0,5490</v>
      </c>
      <c r="E52" s="59" t="s">
        <v>17</v>
      </c>
      <c r="F52" s="59" t="s">
        <v>29</v>
      </c>
      <c r="G52" s="59" t="s">
        <v>23</v>
      </c>
      <c r="H52" s="59" t="s">
        <v>2486</v>
      </c>
      <c r="I52" s="60"/>
      <c r="J52" s="60"/>
      <c r="K52" s="59">
        <v>1960</v>
      </c>
      <c r="L52" s="59" t="str">
        <f>"1076,1379"</f>
        <v>1076,1379</v>
      </c>
      <c r="M52" s="59"/>
    </row>
    <row r="53" spans="1:13">
      <c r="A53" s="63" t="s">
        <v>2571</v>
      </c>
      <c r="B53" s="63" t="s">
        <v>2623</v>
      </c>
      <c r="C53" s="63" t="s">
        <v>2622</v>
      </c>
      <c r="D53" s="63" t="str">
        <f>"0,5577"</f>
        <v>0,5577</v>
      </c>
      <c r="E53" s="63" t="s">
        <v>17</v>
      </c>
      <c r="F53" s="63" t="s">
        <v>569</v>
      </c>
      <c r="G53" s="63" t="s">
        <v>160</v>
      </c>
      <c r="H53" s="63" t="s">
        <v>2621</v>
      </c>
      <c r="I53" s="64"/>
      <c r="J53" s="64"/>
      <c r="K53" s="63">
        <v>2530</v>
      </c>
      <c r="L53" s="63" t="str">
        <f>"1410,9809"</f>
        <v>1410,9809</v>
      </c>
      <c r="M53" s="63" t="s">
        <v>621</v>
      </c>
    </row>
    <row r="54" spans="1:13">
      <c r="A54" s="63" t="s">
        <v>279</v>
      </c>
      <c r="B54" s="63" t="s">
        <v>280</v>
      </c>
      <c r="C54" s="63" t="s">
        <v>587</v>
      </c>
      <c r="D54" s="63" t="str">
        <f>"0,5517"</f>
        <v>0,5517</v>
      </c>
      <c r="E54" s="63" t="s">
        <v>17</v>
      </c>
      <c r="F54" s="63" t="s">
        <v>282</v>
      </c>
      <c r="G54" s="63" t="s">
        <v>149</v>
      </c>
      <c r="H54" s="63" t="s">
        <v>2616</v>
      </c>
      <c r="I54" s="64"/>
      <c r="J54" s="64"/>
      <c r="K54" s="63">
        <v>2160</v>
      </c>
      <c r="L54" s="63" t="str">
        <f>"1191,5641"</f>
        <v>1191,5641</v>
      </c>
      <c r="M54" s="63"/>
    </row>
    <row r="55" spans="1:13">
      <c r="A55" s="63" t="s">
        <v>279</v>
      </c>
      <c r="B55" s="63" t="s">
        <v>283</v>
      </c>
      <c r="C55" s="63" t="s">
        <v>587</v>
      </c>
      <c r="D55" s="63" t="str">
        <f>"0,5517"</f>
        <v>0,5517</v>
      </c>
      <c r="E55" s="63" t="s">
        <v>17</v>
      </c>
      <c r="F55" s="63" t="s">
        <v>282</v>
      </c>
      <c r="G55" s="63" t="s">
        <v>149</v>
      </c>
      <c r="H55" s="63" t="s">
        <v>2616</v>
      </c>
      <c r="I55" s="64"/>
      <c r="J55" s="64"/>
      <c r="K55" s="63">
        <v>2160</v>
      </c>
      <c r="L55" s="63" t="str">
        <f>"1191,5641"</f>
        <v>1191,5641</v>
      </c>
      <c r="M55" s="63"/>
    </row>
    <row r="56" spans="1:13">
      <c r="A56" s="61" t="s">
        <v>2536</v>
      </c>
      <c r="B56" s="61" t="s">
        <v>1669</v>
      </c>
      <c r="C56" s="61" t="s">
        <v>2454</v>
      </c>
      <c r="D56" s="61" t="str">
        <f>"0,6138"</f>
        <v>0,6138</v>
      </c>
      <c r="E56" s="61" t="s">
        <v>17</v>
      </c>
      <c r="F56" s="61" t="s">
        <v>1671</v>
      </c>
      <c r="G56" s="61" t="s">
        <v>187</v>
      </c>
      <c r="H56" s="61" t="s">
        <v>2620</v>
      </c>
      <c r="I56" s="62"/>
      <c r="J56" s="62"/>
      <c r="K56" s="61">
        <v>2362.5</v>
      </c>
      <c r="L56" s="61" t="str">
        <f>"1450,0352"</f>
        <v>1450,0352</v>
      </c>
      <c r="M56" s="61"/>
    </row>
    <row r="58" spans="1:13" ht="15">
      <c r="A58" s="58" t="s">
        <v>617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3">
      <c r="A59" s="59" t="s">
        <v>2583</v>
      </c>
      <c r="B59" s="59" t="s">
        <v>2619</v>
      </c>
      <c r="C59" s="59" t="s">
        <v>2618</v>
      </c>
      <c r="D59" s="59" t="str">
        <f>"0,5405"</f>
        <v>0,5405</v>
      </c>
      <c r="E59" s="59" t="s">
        <v>17</v>
      </c>
      <c r="F59" s="59" t="s">
        <v>72</v>
      </c>
      <c r="G59" s="59" t="s">
        <v>173</v>
      </c>
      <c r="H59" s="59" t="s">
        <v>2617</v>
      </c>
      <c r="I59" s="60"/>
      <c r="J59" s="60"/>
      <c r="K59" s="59">
        <v>3380</v>
      </c>
      <c r="L59" s="59" t="str">
        <f>"1827,0251"</f>
        <v>1827,0251</v>
      </c>
      <c r="M59" s="59"/>
    </row>
    <row r="60" spans="1:13">
      <c r="A60" s="63" t="s">
        <v>1687</v>
      </c>
      <c r="B60" s="63" t="s">
        <v>1688</v>
      </c>
      <c r="C60" s="63" t="s">
        <v>1689</v>
      </c>
      <c r="D60" s="63" t="str">
        <f>"0,5450"</f>
        <v>0,5450</v>
      </c>
      <c r="E60" s="63" t="s">
        <v>17</v>
      </c>
      <c r="F60" s="63" t="s">
        <v>786</v>
      </c>
      <c r="G60" s="63" t="s">
        <v>817</v>
      </c>
      <c r="H60" s="63" t="s">
        <v>2449</v>
      </c>
      <c r="I60" s="64"/>
      <c r="J60" s="64"/>
      <c r="K60" s="63">
        <v>2422.5</v>
      </c>
      <c r="L60" s="63" t="str">
        <f>"1320,3352"</f>
        <v>1320,3352</v>
      </c>
      <c r="M60" s="63"/>
    </row>
    <row r="61" spans="1:13">
      <c r="A61" s="63" t="s">
        <v>1908</v>
      </c>
      <c r="B61" s="63" t="s">
        <v>1909</v>
      </c>
      <c r="C61" s="63" t="s">
        <v>1910</v>
      </c>
      <c r="D61" s="63" t="str">
        <f>"0,5433"</f>
        <v>0,5433</v>
      </c>
      <c r="E61" s="63" t="s">
        <v>17</v>
      </c>
      <c r="F61" s="63" t="s">
        <v>923</v>
      </c>
      <c r="G61" s="63" t="s">
        <v>817</v>
      </c>
      <c r="H61" s="63" t="s">
        <v>2616</v>
      </c>
      <c r="I61" s="64"/>
      <c r="J61" s="64"/>
      <c r="K61" s="63">
        <v>2295</v>
      </c>
      <c r="L61" s="63" t="str">
        <f>"1246,7817"</f>
        <v>1246,7817</v>
      </c>
      <c r="M61" s="63" t="s">
        <v>2615</v>
      </c>
    </row>
    <row r="62" spans="1:13">
      <c r="A62" s="61" t="s">
        <v>1908</v>
      </c>
      <c r="B62" s="61" t="s">
        <v>1911</v>
      </c>
      <c r="C62" s="61" t="s">
        <v>1910</v>
      </c>
      <c r="D62" s="61" t="str">
        <f>"0,5802"</f>
        <v>0,5802</v>
      </c>
      <c r="E62" s="61" t="s">
        <v>17</v>
      </c>
      <c r="F62" s="61" t="s">
        <v>923</v>
      </c>
      <c r="G62" s="61" t="s">
        <v>817</v>
      </c>
      <c r="H62" s="61" t="s">
        <v>2616</v>
      </c>
      <c r="I62" s="62"/>
      <c r="J62" s="62"/>
      <c r="K62" s="61">
        <v>2295</v>
      </c>
      <c r="L62" s="61" t="str">
        <f>"1331,5629"</f>
        <v>1331,5629</v>
      </c>
      <c r="M62" s="61" t="s">
        <v>2615</v>
      </c>
    </row>
    <row r="64" spans="1:13" ht="15">
      <c r="A64" s="58" t="s">
        <v>1704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3">
      <c r="A65" s="59" t="s">
        <v>2523</v>
      </c>
      <c r="B65" s="59" t="s">
        <v>2614</v>
      </c>
      <c r="C65" s="59" t="s">
        <v>2612</v>
      </c>
      <c r="D65" s="59" t="str">
        <f>"0,5310"</f>
        <v>0,5310</v>
      </c>
      <c r="E65" s="59" t="s">
        <v>17</v>
      </c>
      <c r="F65" s="59" t="s">
        <v>72</v>
      </c>
      <c r="G65" s="59" t="s">
        <v>836</v>
      </c>
      <c r="H65" s="59" t="s">
        <v>2611</v>
      </c>
      <c r="I65" s="60"/>
      <c r="J65" s="60"/>
      <c r="K65" s="59">
        <v>1710</v>
      </c>
      <c r="L65" s="59" t="str">
        <f>"908,0271"</f>
        <v>908,0271</v>
      </c>
      <c r="M65" s="59"/>
    </row>
    <row r="66" spans="1:13">
      <c r="A66" s="61" t="s">
        <v>2523</v>
      </c>
      <c r="B66" s="61" t="s">
        <v>2613</v>
      </c>
      <c r="C66" s="61" t="s">
        <v>2612</v>
      </c>
      <c r="D66" s="61" t="str">
        <f>"0,6393"</f>
        <v>0,6393</v>
      </c>
      <c r="E66" s="61" t="s">
        <v>17</v>
      </c>
      <c r="F66" s="61" t="s">
        <v>72</v>
      </c>
      <c r="G66" s="61" t="s">
        <v>836</v>
      </c>
      <c r="H66" s="61" t="s">
        <v>2611</v>
      </c>
      <c r="I66" s="62"/>
      <c r="J66" s="62"/>
      <c r="K66" s="61">
        <v>1710</v>
      </c>
      <c r="L66" s="61" t="str">
        <f>"1093,2645"</f>
        <v>1093,2645</v>
      </c>
      <c r="M66" s="61"/>
    </row>
    <row r="68" spans="1:13" ht="15">
      <c r="E68" s="65" t="s">
        <v>84</v>
      </c>
    </row>
    <row r="69" spans="1:13" ht="15">
      <c r="E69" s="65" t="s">
        <v>85</v>
      </c>
    </row>
    <row r="70" spans="1:13" ht="15">
      <c r="E70" s="65" t="s">
        <v>86</v>
      </c>
    </row>
    <row r="71" spans="1:13">
      <c r="E71" s="55" t="s">
        <v>87</v>
      </c>
    </row>
    <row r="72" spans="1:13">
      <c r="E72" s="55" t="s">
        <v>88</v>
      </c>
    </row>
    <row r="73" spans="1:13">
      <c r="E73" s="55" t="s">
        <v>89</v>
      </c>
    </row>
    <row r="76" spans="1:13" ht="18">
      <c r="A76" s="66" t="s">
        <v>90</v>
      </c>
      <c r="B76" s="66"/>
    </row>
    <row r="77" spans="1:13" ht="15">
      <c r="A77" s="67" t="s">
        <v>91</v>
      </c>
      <c r="B77" s="67"/>
    </row>
    <row r="78" spans="1:13" ht="14.25">
      <c r="A78" s="69" t="s">
        <v>285</v>
      </c>
      <c r="B78" s="70"/>
    </row>
    <row r="79" spans="1:13" ht="15">
      <c r="A79" s="71" t="s">
        <v>0</v>
      </c>
      <c r="B79" s="71" t="s">
        <v>93</v>
      </c>
      <c r="C79" s="71" t="s">
        <v>94</v>
      </c>
      <c r="D79" s="71" t="s">
        <v>7</v>
      </c>
      <c r="E79" s="71" t="s">
        <v>95</v>
      </c>
    </row>
    <row r="80" spans="1:13">
      <c r="A80" s="68" t="s">
        <v>2610</v>
      </c>
      <c r="B80" s="55" t="s">
        <v>416</v>
      </c>
      <c r="C80" s="55" t="s">
        <v>104</v>
      </c>
      <c r="D80" s="55" t="s">
        <v>2609</v>
      </c>
      <c r="E80" s="72" t="s">
        <v>2608</v>
      </c>
    </row>
    <row r="82" spans="1:5" ht="14.25">
      <c r="A82" s="69" t="s">
        <v>92</v>
      </c>
      <c r="B82" s="70"/>
    </row>
    <row r="83" spans="1:5" ht="15">
      <c r="A83" s="71" t="s">
        <v>0</v>
      </c>
      <c r="B83" s="71" t="s">
        <v>93</v>
      </c>
      <c r="C83" s="71" t="s">
        <v>94</v>
      </c>
      <c r="D83" s="71" t="s">
        <v>7</v>
      </c>
      <c r="E83" s="71" t="s">
        <v>95</v>
      </c>
    </row>
    <row r="84" spans="1:5">
      <c r="A84" s="68" t="s">
        <v>1660</v>
      </c>
      <c r="B84" s="55" t="s">
        <v>96</v>
      </c>
      <c r="C84" s="55" t="s">
        <v>304</v>
      </c>
      <c r="D84" s="55" t="s">
        <v>2607</v>
      </c>
      <c r="E84" s="72" t="s">
        <v>2606</v>
      </c>
    </row>
    <row r="86" spans="1:5" ht="14.25">
      <c r="A86" s="69" t="s">
        <v>100</v>
      </c>
      <c r="B86" s="70"/>
    </row>
    <row r="87" spans="1:5" ht="15">
      <c r="A87" s="71" t="s">
        <v>0</v>
      </c>
      <c r="B87" s="71" t="s">
        <v>93</v>
      </c>
      <c r="C87" s="71" t="s">
        <v>94</v>
      </c>
      <c r="D87" s="71" t="s">
        <v>7</v>
      </c>
      <c r="E87" s="71" t="s">
        <v>95</v>
      </c>
    </row>
    <row r="88" spans="1:5">
      <c r="A88" s="68" t="s">
        <v>2605</v>
      </c>
      <c r="B88" s="55" t="s">
        <v>100</v>
      </c>
      <c r="C88" s="55" t="s">
        <v>293</v>
      </c>
      <c r="D88" s="55" t="s">
        <v>2604</v>
      </c>
      <c r="E88" s="72" t="s">
        <v>2603</v>
      </c>
    </row>
    <row r="89" spans="1:5">
      <c r="A89" s="68" t="s">
        <v>190</v>
      </c>
      <c r="B89" s="55" t="s">
        <v>100</v>
      </c>
      <c r="C89" s="55" t="s">
        <v>310</v>
      </c>
      <c r="D89" s="55" t="s">
        <v>2602</v>
      </c>
      <c r="E89" s="72" t="s">
        <v>2601</v>
      </c>
    </row>
    <row r="90" spans="1:5">
      <c r="A90" s="68" t="s">
        <v>2600</v>
      </c>
      <c r="B90" s="55" t="s">
        <v>100</v>
      </c>
      <c r="C90" s="55" t="s">
        <v>111</v>
      </c>
      <c r="D90" s="55" t="s">
        <v>2599</v>
      </c>
      <c r="E90" s="72" t="s">
        <v>2598</v>
      </c>
    </row>
    <row r="91" spans="1:5">
      <c r="A91" s="68" t="s">
        <v>2597</v>
      </c>
      <c r="B91" s="55" t="s">
        <v>100</v>
      </c>
      <c r="C91" s="55" t="s">
        <v>101</v>
      </c>
      <c r="D91" s="55" t="s">
        <v>2596</v>
      </c>
      <c r="E91" s="72" t="s">
        <v>2595</v>
      </c>
    </row>
    <row r="92" spans="1:5">
      <c r="A92" s="68" t="s">
        <v>2594</v>
      </c>
      <c r="B92" s="55" t="s">
        <v>100</v>
      </c>
      <c r="C92" s="55" t="s">
        <v>104</v>
      </c>
      <c r="D92" s="55" t="s">
        <v>2593</v>
      </c>
      <c r="E92" s="72" t="s">
        <v>2592</v>
      </c>
    </row>
    <row r="93" spans="1:5">
      <c r="A93" s="68" t="s">
        <v>2591</v>
      </c>
      <c r="B93" s="55" t="s">
        <v>100</v>
      </c>
      <c r="C93" s="55" t="s">
        <v>104</v>
      </c>
      <c r="D93" s="55" t="s">
        <v>2590</v>
      </c>
      <c r="E93" s="72" t="s">
        <v>2589</v>
      </c>
    </row>
    <row r="94" spans="1:5">
      <c r="A94" s="68" t="s">
        <v>1492</v>
      </c>
      <c r="B94" s="55" t="s">
        <v>100</v>
      </c>
      <c r="C94" s="55" t="s">
        <v>97</v>
      </c>
      <c r="D94" s="55" t="s">
        <v>2588</v>
      </c>
      <c r="E94" s="72" t="s">
        <v>2587</v>
      </c>
    </row>
    <row r="95" spans="1:5">
      <c r="A95" s="68" t="s">
        <v>1476</v>
      </c>
      <c r="B95" s="55" t="s">
        <v>100</v>
      </c>
      <c r="C95" s="55" t="s">
        <v>97</v>
      </c>
      <c r="D95" s="55" t="s">
        <v>2546</v>
      </c>
      <c r="E95" s="72" t="s">
        <v>2586</v>
      </c>
    </row>
    <row r="96" spans="1:5">
      <c r="A96" s="68" t="s">
        <v>2518</v>
      </c>
      <c r="B96" s="55" t="s">
        <v>100</v>
      </c>
      <c r="C96" s="55" t="s">
        <v>104</v>
      </c>
      <c r="D96" s="55" t="s">
        <v>2554</v>
      </c>
      <c r="E96" s="72" t="s">
        <v>2585</v>
      </c>
    </row>
    <row r="97" spans="1:5">
      <c r="A97" s="68" t="s">
        <v>2549</v>
      </c>
      <c r="B97" s="55" t="s">
        <v>100</v>
      </c>
      <c r="C97" s="55" t="s">
        <v>97</v>
      </c>
      <c r="D97" s="55" t="s">
        <v>2396</v>
      </c>
      <c r="E97" s="72" t="s">
        <v>2584</v>
      </c>
    </row>
    <row r="98" spans="1:5">
      <c r="A98" s="68" t="s">
        <v>2583</v>
      </c>
      <c r="B98" s="55" t="s">
        <v>100</v>
      </c>
      <c r="C98" s="55" t="s">
        <v>654</v>
      </c>
      <c r="D98" s="55" t="s">
        <v>2582</v>
      </c>
      <c r="E98" s="72" t="s">
        <v>2581</v>
      </c>
    </row>
    <row r="99" spans="1:5">
      <c r="A99" s="68" t="s">
        <v>2580</v>
      </c>
      <c r="B99" s="55" t="s">
        <v>100</v>
      </c>
      <c r="C99" s="55" t="s">
        <v>310</v>
      </c>
      <c r="D99" s="55" t="s">
        <v>2392</v>
      </c>
      <c r="E99" s="72" t="s">
        <v>2579</v>
      </c>
    </row>
    <row r="100" spans="1:5">
      <c r="A100" s="68" t="s">
        <v>1519</v>
      </c>
      <c r="B100" s="55" t="s">
        <v>100</v>
      </c>
      <c r="C100" s="55" t="s">
        <v>111</v>
      </c>
      <c r="D100" s="55" t="s">
        <v>2405</v>
      </c>
      <c r="E100" s="72" t="s">
        <v>2578</v>
      </c>
    </row>
    <row r="101" spans="1:5">
      <c r="A101" s="68" t="s">
        <v>2577</v>
      </c>
      <c r="B101" s="55" t="s">
        <v>100</v>
      </c>
      <c r="C101" s="55" t="s">
        <v>101</v>
      </c>
      <c r="D101" s="55" t="s">
        <v>2576</v>
      </c>
      <c r="E101" s="72" t="s">
        <v>2575</v>
      </c>
    </row>
    <row r="102" spans="1:5">
      <c r="A102" s="68" t="s">
        <v>2574</v>
      </c>
      <c r="B102" s="55" t="s">
        <v>100</v>
      </c>
      <c r="C102" s="55" t="s">
        <v>104</v>
      </c>
      <c r="D102" s="55" t="s">
        <v>2573</v>
      </c>
      <c r="E102" s="72" t="s">
        <v>2572</v>
      </c>
    </row>
    <row r="103" spans="1:5">
      <c r="A103" s="68" t="s">
        <v>2571</v>
      </c>
      <c r="B103" s="55" t="s">
        <v>100</v>
      </c>
      <c r="C103" s="55" t="s">
        <v>304</v>
      </c>
      <c r="D103" s="55" t="s">
        <v>2570</v>
      </c>
      <c r="E103" s="72" t="s">
        <v>2569</v>
      </c>
    </row>
    <row r="104" spans="1:5">
      <c r="A104" s="68" t="s">
        <v>1687</v>
      </c>
      <c r="B104" s="55" t="s">
        <v>100</v>
      </c>
      <c r="C104" s="55" t="s">
        <v>654</v>
      </c>
      <c r="D104" s="55" t="s">
        <v>2568</v>
      </c>
      <c r="E104" s="72" t="s">
        <v>2567</v>
      </c>
    </row>
    <row r="105" spans="1:5">
      <c r="A105" s="68" t="s">
        <v>1486</v>
      </c>
      <c r="B105" s="55" t="s">
        <v>100</v>
      </c>
      <c r="C105" s="55" t="s">
        <v>97</v>
      </c>
      <c r="D105" s="55" t="s">
        <v>2566</v>
      </c>
      <c r="E105" s="72" t="s">
        <v>2565</v>
      </c>
    </row>
    <row r="106" spans="1:5">
      <c r="A106" s="68" t="s">
        <v>1908</v>
      </c>
      <c r="B106" s="55" t="s">
        <v>100</v>
      </c>
      <c r="C106" s="55" t="s">
        <v>654</v>
      </c>
      <c r="D106" s="55" t="s">
        <v>2531</v>
      </c>
      <c r="E106" s="72" t="s">
        <v>2564</v>
      </c>
    </row>
    <row r="107" spans="1:5">
      <c r="A107" s="68" t="s">
        <v>1637</v>
      </c>
      <c r="B107" s="55" t="s">
        <v>100</v>
      </c>
      <c r="C107" s="55" t="s">
        <v>101</v>
      </c>
      <c r="D107" s="55" t="s">
        <v>2529</v>
      </c>
      <c r="E107" s="72" t="s">
        <v>2563</v>
      </c>
    </row>
    <row r="108" spans="1:5">
      <c r="A108" s="68" t="s">
        <v>279</v>
      </c>
      <c r="B108" s="55" t="s">
        <v>100</v>
      </c>
      <c r="C108" s="55" t="s">
        <v>304</v>
      </c>
      <c r="D108" s="55" t="s">
        <v>2527</v>
      </c>
      <c r="E108" s="72" t="s">
        <v>2526</v>
      </c>
    </row>
    <row r="109" spans="1:5">
      <c r="A109" s="68" t="s">
        <v>2523</v>
      </c>
      <c r="B109" s="55" t="s">
        <v>100</v>
      </c>
      <c r="C109" s="55" t="s">
        <v>1781</v>
      </c>
      <c r="D109" s="55" t="s">
        <v>2522</v>
      </c>
      <c r="E109" s="72" t="s">
        <v>2562</v>
      </c>
    </row>
    <row r="110" spans="1:5">
      <c r="A110" s="68" t="s">
        <v>2561</v>
      </c>
      <c r="B110" s="55" t="s">
        <v>100</v>
      </c>
      <c r="C110" s="55" t="s">
        <v>111</v>
      </c>
      <c r="D110" s="55" t="s">
        <v>2560</v>
      </c>
      <c r="E110" s="72" t="s">
        <v>2559</v>
      </c>
    </row>
    <row r="112" spans="1:5" ht="14.25">
      <c r="A112" s="69" t="s">
        <v>297</v>
      </c>
      <c r="B112" s="70"/>
    </row>
    <row r="113" spans="1:5" ht="15">
      <c r="A113" s="71" t="s">
        <v>0</v>
      </c>
      <c r="B113" s="71" t="s">
        <v>93</v>
      </c>
      <c r="C113" s="71" t="s">
        <v>94</v>
      </c>
      <c r="D113" s="71" t="s">
        <v>7</v>
      </c>
      <c r="E113" s="71" t="s">
        <v>95</v>
      </c>
    </row>
    <row r="114" spans="1:5">
      <c r="A114" s="68" t="s">
        <v>1593</v>
      </c>
      <c r="B114" s="55" t="s">
        <v>298</v>
      </c>
      <c r="C114" s="55" t="s">
        <v>104</v>
      </c>
      <c r="D114" s="55" t="s">
        <v>2558</v>
      </c>
      <c r="E114" s="72" t="s">
        <v>2557</v>
      </c>
    </row>
    <row r="115" spans="1:5">
      <c r="A115" s="68" t="s">
        <v>1496</v>
      </c>
      <c r="B115" s="55" t="s">
        <v>298</v>
      </c>
      <c r="C115" s="55" t="s">
        <v>97</v>
      </c>
      <c r="D115" s="55" t="s">
        <v>2556</v>
      </c>
      <c r="E115" s="72" t="s">
        <v>2555</v>
      </c>
    </row>
    <row r="116" spans="1:5">
      <c r="A116" s="68" t="s">
        <v>2518</v>
      </c>
      <c r="B116" s="55" t="s">
        <v>298</v>
      </c>
      <c r="C116" s="55" t="s">
        <v>104</v>
      </c>
      <c r="D116" s="55" t="s">
        <v>2554</v>
      </c>
      <c r="E116" s="72" t="s">
        <v>2553</v>
      </c>
    </row>
    <row r="117" spans="1:5">
      <c r="A117" s="68" t="s">
        <v>2552</v>
      </c>
      <c r="B117" s="55" t="s">
        <v>343</v>
      </c>
      <c r="C117" s="55" t="s">
        <v>104</v>
      </c>
      <c r="D117" s="55" t="s">
        <v>2551</v>
      </c>
      <c r="E117" s="72" t="s">
        <v>2550</v>
      </c>
    </row>
    <row r="118" spans="1:5">
      <c r="A118" s="68" t="s">
        <v>2549</v>
      </c>
      <c r="B118" s="55" t="s">
        <v>343</v>
      </c>
      <c r="C118" s="55" t="s">
        <v>97</v>
      </c>
      <c r="D118" s="55" t="s">
        <v>2396</v>
      </c>
      <c r="E118" s="72" t="s">
        <v>2548</v>
      </c>
    </row>
    <row r="119" spans="1:5">
      <c r="A119" s="68" t="s">
        <v>2547</v>
      </c>
      <c r="B119" s="55" t="s">
        <v>343</v>
      </c>
      <c r="C119" s="55" t="s">
        <v>111</v>
      </c>
      <c r="D119" s="55" t="s">
        <v>2546</v>
      </c>
      <c r="E119" s="72" t="s">
        <v>2545</v>
      </c>
    </row>
    <row r="120" spans="1:5">
      <c r="A120" s="68" t="s">
        <v>1617</v>
      </c>
      <c r="B120" s="55" t="s">
        <v>343</v>
      </c>
      <c r="C120" s="55" t="s">
        <v>101</v>
      </c>
      <c r="D120" s="55" t="s">
        <v>2544</v>
      </c>
      <c r="E120" s="72" t="s">
        <v>2543</v>
      </c>
    </row>
    <row r="121" spans="1:5">
      <c r="A121" s="68" t="s">
        <v>1597</v>
      </c>
      <c r="B121" s="55" t="s">
        <v>298</v>
      </c>
      <c r="C121" s="55" t="s">
        <v>104</v>
      </c>
      <c r="D121" s="55" t="s">
        <v>2542</v>
      </c>
      <c r="E121" s="72" t="s">
        <v>2541</v>
      </c>
    </row>
    <row r="122" spans="1:5">
      <c r="A122" s="68" t="s">
        <v>2540</v>
      </c>
      <c r="B122" s="55" t="s">
        <v>343</v>
      </c>
      <c r="C122" s="55" t="s">
        <v>111</v>
      </c>
      <c r="D122" s="55" t="s">
        <v>2531</v>
      </c>
      <c r="E122" s="72" t="s">
        <v>2539</v>
      </c>
    </row>
    <row r="123" spans="1:5">
      <c r="A123" s="68" t="s">
        <v>924</v>
      </c>
      <c r="B123" s="55" t="s">
        <v>298</v>
      </c>
      <c r="C123" s="55" t="s">
        <v>111</v>
      </c>
      <c r="D123" s="55" t="s">
        <v>2538</v>
      </c>
      <c r="E123" s="72" t="s">
        <v>2537</v>
      </c>
    </row>
    <row r="124" spans="1:5">
      <c r="A124" s="68" t="s">
        <v>2536</v>
      </c>
      <c r="B124" s="55" t="s">
        <v>298</v>
      </c>
      <c r="C124" s="55" t="s">
        <v>304</v>
      </c>
      <c r="D124" s="55" t="s">
        <v>2535</v>
      </c>
      <c r="E124" s="72" t="s">
        <v>2534</v>
      </c>
    </row>
    <row r="125" spans="1:5">
      <c r="A125" s="68" t="s">
        <v>1639</v>
      </c>
      <c r="B125" s="55" t="s">
        <v>435</v>
      </c>
      <c r="C125" s="55" t="s">
        <v>101</v>
      </c>
      <c r="D125" s="55" t="s">
        <v>2533</v>
      </c>
      <c r="E125" s="72" t="s">
        <v>2532</v>
      </c>
    </row>
    <row r="126" spans="1:5">
      <c r="A126" s="68" t="s">
        <v>1908</v>
      </c>
      <c r="B126" s="55" t="s">
        <v>298</v>
      </c>
      <c r="C126" s="55" t="s">
        <v>654</v>
      </c>
      <c r="D126" s="55" t="s">
        <v>2531</v>
      </c>
      <c r="E126" s="72" t="s">
        <v>2530</v>
      </c>
    </row>
    <row r="127" spans="1:5">
      <c r="A127" s="68" t="s">
        <v>1637</v>
      </c>
      <c r="B127" s="55" t="s">
        <v>298</v>
      </c>
      <c r="C127" s="55" t="s">
        <v>101</v>
      </c>
      <c r="D127" s="55" t="s">
        <v>2529</v>
      </c>
      <c r="E127" s="72" t="s">
        <v>2528</v>
      </c>
    </row>
    <row r="128" spans="1:5">
      <c r="A128" s="68" t="s">
        <v>279</v>
      </c>
      <c r="B128" s="55" t="s">
        <v>343</v>
      </c>
      <c r="C128" s="55" t="s">
        <v>304</v>
      </c>
      <c r="D128" s="55" t="s">
        <v>2527</v>
      </c>
      <c r="E128" s="72" t="s">
        <v>2526</v>
      </c>
    </row>
    <row r="129" spans="1:5">
      <c r="A129" s="68" t="s">
        <v>1632</v>
      </c>
      <c r="B129" s="55" t="s">
        <v>343</v>
      </c>
      <c r="C129" s="55" t="s">
        <v>101</v>
      </c>
      <c r="D129" s="55" t="s">
        <v>2525</v>
      </c>
      <c r="E129" s="72" t="s">
        <v>2524</v>
      </c>
    </row>
    <row r="130" spans="1:5">
      <c r="A130" s="68" t="s">
        <v>2523</v>
      </c>
      <c r="B130" s="55" t="s">
        <v>435</v>
      </c>
      <c r="C130" s="55" t="s">
        <v>1781</v>
      </c>
      <c r="D130" s="55" t="s">
        <v>2522</v>
      </c>
      <c r="E130" s="72" t="s">
        <v>2521</v>
      </c>
    </row>
    <row r="131" spans="1:5">
      <c r="A131" s="68" t="s">
        <v>530</v>
      </c>
      <c r="B131" s="55" t="s">
        <v>659</v>
      </c>
      <c r="C131" s="55" t="s">
        <v>111</v>
      </c>
      <c r="D131" s="55" t="s">
        <v>2365</v>
      </c>
      <c r="E131" s="72" t="s">
        <v>2364</v>
      </c>
    </row>
    <row r="132" spans="1:5">
      <c r="A132" s="68" t="s">
        <v>1497</v>
      </c>
      <c r="B132" s="55" t="s">
        <v>435</v>
      </c>
      <c r="C132" s="55" t="s">
        <v>97</v>
      </c>
      <c r="D132" s="55" t="s">
        <v>2520</v>
      </c>
      <c r="E132" s="72" t="s">
        <v>2519</v>
      </c>
    </row>
    <row r="133" spans="1:5">
      <c r="A133" s="68" t="s">
        <v>2518</v>
      </c>
      <c r="B133" s="55" t="s">
        <v>298</v>
      </c>
      <c r="C133" s="55" t="s">
        <v>111</v>
      </c>
      <c r="D133" s="55" t="s">
        <v>2365</v>
      </c>
      <c r="E133" s="72" t="s">
        <v>2517</v>
      </c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21:L21"/>
    <mergeCell ref="A31:L31"/>
    <mergeCell ref="A42:L42"/>
    <mergeCell ref="A51:L51"/>
    <mergeCell ref="A58:L58"/>
    <mergeCell ref="A64:L6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S17" sqref="S17"/>
    </sheetView>
  </sheetViews>
  <sheetFormatPr defaultRowHeight="12.75"/>
  <cols>
    <col min="1" max="1" width="27" style="55" bestFit="1" customWidth="1"/>
    <col min="2" max="2" width="24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3" style="55" bestFit="1" customWidth="1"/>
    <col min="7" max="7" width="4.7109375" style="55" bestFit="1" customWidth="1"/>
    <col min="8" max="8" width="7.5703125" style="55" bestFit="1" customWidth="1"/>
    <col min="9" max="9" width="2.140625" style="55" bestFit="1" customWidth="1"/>
    <col min="10" max="10" width="4.85546875" style="55" bestFit="1" customWidth="1"/>
    <col min="11" max="11" width="6.7109375" style="55" bestFit="1" customWidth="1"/>
    <col min="12" max="12" width="9.5703125" style="55" bestFit="1" customWidth="1"/>
    <col min="13" max="13" width="7.42578125" style="55" bestFit="1" customWidth="1"/>
  </cols>
  <sheetData>
    <row r="1" spans="1:13" s="1" customFormat="1" ht="15" customHeight="1">
      <c r="A1" s="27" t="s">
        <v>2715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2516</v>
      </c>
      <c r="C3" s="13" t="s">
        <v>11</v>
      </c>
      <c r="D3" s="10" t="s">
        <v>1</v>
      </c>
      <c r="E3" s="10" t="s">
        <v>2</v>
      </c>
      <c r="F3" s="16" t="s">
        <v>3</v>
      </c>
      <c r="G3" s="10" t="s">
        <v>5</v>
      </c>
      <c r="H3" s="10"/>
      <c r="I3" s="10"/>
      <c r="J3" s="10"/>
      <c r="K3" s="10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2" t="s">
        <v>2515</v>
      </c>
      <c r="H4" s="2" t="s">
        <v>2514</v>
      </c>
      <c r="I4" s="2">
        <v>3</v>
      </c>
      <c r="J4" s="4" t="s">
        <v>10</v>
      </c>
      <c r="K4" s="14"/>
      <c r="L4" s="14"/>
      <c r="M4" s="15"/>
    </row>
    <row r="5" spans="1:13" ht="15">
      <c r="A5" s="35" t="s">
        <v>455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456</v>
      </c>
      <c r="B6" s="56" t="s">
        <v>457</v>
      </c>
      <c r="C6" s="56" t="s">
        <v>458</v>
      </c>
      <c r="D6" s="56" t="str">
        <f>"1,1827"</f>
        <v>1,1827</v>
      </c>
      <c r="E6" s="56" t="s">
        <v>17</v>
      </c>
      <c r="F6" s="56" t="s">
        <v>459</v>
      </c>
      <c r="G6" s="56" t="s">
        <v>2460</v>
      </c>
      <c r="H6" s="56" t="s">
        <v>2673</v>
      </c>
      <c r="I6" s="57"/>
      <c r="J6" s="57"/>
      <c r="K6" s="56">
        <v>1300</v>
      </c>
      <c r="L6" s="56" t="str">
        <f>"1537,5100"</f>
        <v>1537,5100</v>
      </c>
      <c r="M6" s="56"/>
    </row>
    <row r="8" spans="1:13" ht="15">
      <c r="A8" s="58" t="s">
        <v>143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478</v>
      </c>
      <c r="B9" s="56" t="s">
        <v>479</v>
      </c>
      <c r="C9" s="56" t="s">
        <v>480</v>
      </c>
      <c r="D9" s="56" t="str">
        <f>"0,9721"</f>
        <v>0,9721</v>
      </c>
      <c r="E9" s="56" t="s">
        <v>17</v>
      </c>
      <c r="F9" s="56" t="s">
        <v>481</v>
      </c>
      <c r="G9" s="56" t="s">
        <v>1359</v>
      </c>
      <c r="H9" s="56" t="s">
        <v>154</v>
      </c>
      <c r="I9" s="57"/>
      <c r="J9" s="57"/>
      <c r="K9" s="56">
        <v>1462.5</v>
      </c>
      <c r="L9" s="56" t="str">
        <f>"1421,6963"</f>
        <v>1421,6963</v>
      </c>
      <c r="M9" s="56"/>
    </row>
    <row r="11" spans="1:13" ht="15">
      <c r="E11" s="65" t="s">
        <v>84</v>
      </c>
    </row>
    <row r="12" spans="1:13" ht="15">
      <c r="E12" s="65" t="s">
        <v>85</v>
      </c>
    </row>
    <row r="13" spans="1:13" ht="15">
      <c r="E13" s="65" t="s">
        <v>86</v>
      </c>
    </row>
    <row r="14" spans="1:13">
      <c r="E14" s="55" t="s">
        <v>87</v>
      </c>
    </row>
    <row r="15" spans="1:13">
      <c r="E15" s="55" t="s">
        <v>88</v>
      </c>
    </row>
    <row r="16" spans="1:13">
      <c r="E16" s="55" t="s">
        <v>89</v>
      </c>
    </row>
    <row r="19" spans="1:5" ht="18">
      <c r="A19" s="66" t="s">
        <v>90</v>
      </c>
      <c r="B19" s="66"/>
    </row>
    <row r="20" spans="1:5" ht="15">
      <c r="A20" s="67" t="s">
        <v>284</v>
      </c>
      <c r="B20" s="67"/>
    </row>
    <row r="21" spans="1:5" ht="14.25">
      <c r="A21" s="69" t="s">
        <v>285</v>
      </c>
      <c r="B21" s="70"/>
    </row>
    <row r="22" spans="1:5" ht="15">
      <c r="A22" s="71" t="s">
        <v>0</v>
      </c>
      <c r="B22" s="71" t="s">
        <v>93</v>
      </c>
      <c r="C22" s="71" t="s">
        <v>94</v>
      </c>
      <c r="D22" s="71" t="s">
        <v>7</v>
      </c>
      <c r="E22" s="71" t="s">
        <v>95</v>
      </c>
    </row>
    <row r="23" spans="1:5">
      <c r="A23" s="68" t="s">
        <v>456</v>
      </c>
      <c r="B23" s="55" t="s">
        <v>416</v>
      </c>
      <c r="C23" s="55" t="s">
        <v>626</v>
      </c>
      <c r="D23" s="55" t="s">
        <v>2672</v>
      </c>
      <c r="E23" s="72" t="s">
        <v>2671</v>
      </c>
    </row>
    <row r="25" spans="1:5" ht="14.25">
      <c r="A25" s="69" t="s">
        <v>100</v>
      </c>
      <c r="B25" s="70"/>
    </row>
    <row r="26" spans="1:5" ht="15">
      <c r="A26" s="71" t="s">
        <v>0</v>
      </c>
      <c r="B26" s="71" t="s">
        <v>93</v>
      </c>
      <c r="C26" s="71" t="s">
        <v>94</v>
      </c>
      <c r="D26" s="71" t="s">
        <v>7</v>
      </c>
      <c r="E26" s="71" t="s">
        <v>95</v>
      </c>
    </row>
    <row r="27" spans="1:5">
      <c r="A27" s="68" t="s">
        <v>478</v>
      </c>
      <c r="B27" s="55" t="s">
        <v>100</v>
      </c>
      <c r="C27" s="55" t="s">
        <v>293</v>
      </c>
      <c r="D27" s="55" t="s">
        <v>2670</v>
      </c>
      <c r="E27" s="72" t="s">
        <v>2669</v>
      </c>
    </row>
  </sheetData>
  <mergeCells count="13">
    <mergeCell ref="E3:E4"/>
    <mergeCell ref="F3:F4"/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Normal="100" workbookViewId="0">
      <selection activeCell="A3" sqref="A3:A4"/>
    </sheetView>
  </sheetViews>
  <sheetFormatPr defaultRowHeight="12.75"/>
  <cols>
    <col min="1" max="1" width="30.28515625" style="6" bestFit="1" customWidth="1"/>
    <col min="2" max="2" width="26.85546875" style="5" bestFit="1" customWidth="1"/>
    <col min="3" max="3" width="7" style="5" bestFit="1" customWidth="1"/>
    <col min="4" max="4" width="6.85546875" style="5" bestFit="1" customWidth="1"/>
    <col min="5" max="5" width="17.28515625" style="8" bestFit="1" customWidth="1"/>
    <col min="6" max="6" width="37.140625" style="8" bestFit="1" customWidth="1"/>
    <col min="7" max="7" width="4.7109375" style="5" bestFit="1" customWidth="1"/>
    <col min="8" max="8" width="7.5703125" style="5" bestFit="1" customWidth="1"/>
    <col min="9" max="9" width="2.140625" style="5" bestFit="1" customWidth="1"/>
    <col min="10" max="10" width="4.85546875" style="5" bestFit="1" customWidth="1"/>
    <col min="11" max="11" width="6.7109375" style="6" bestFit="1" customWidth="1"/>
    <col min="12" max="12" width="9.5703125" style="5" bestFit="1" customWidth="1"/>
    <col min="13" max="13" width="7.42578125" style="8" bestFit="1" customWidth="1"/>
    <col min="14" max="16384" width="9.140625" style="1"/>
  </cols>
  <sheetData>
    <row r="1" spans="1:13" ht="15" customHeight="1">
      <c r="A1" s="27" t="s">
        <v>2716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3.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2516</v>
      </c>
      <c r="C3" s="13" t="s">
        <v>11</v>
      </c>
      <c r="D3" s="10" t="s">
        <v>1</v>
      </c>
      <c r="E3" s="10" t="s">
        <v>2</v>
      </c>
      <c r="F3" s="16" t="s">
        <v>3</v>
      </c>
      <c r="G3" s="10" t="s">
        <v>5</v>
      </c>
      <c r="H3" s="10"/>
      <c r="I3" s="10"/>
      <c r="J3" s="10"/>
      <c r="K3" s="10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2" t="s">
        <v>2515</v>
      </c>
      <c r="H4" s="2" t="s">
        <v>2514</v>
      </c>
      <c r="I4" s="2">
        <v>3</v>
      </c>
      <c r="J4" s="4" t="s">
        <v>10</v>
      </c>
      <c r="K4" s="14"/>
      <c r="L4" s="14"/>
      <c r="M4" s="15"/>
    </row>
    <row r="5" spans="1:13" s="5" customFormat="1" ht="15">
      <c r="A5" s="18" t="s">
        <v>350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8"/>
    </row>
    <row r="6" spans="1:13" s="5" customFormat="1">
      <c r="A6" s="37" t="s">
        <v>1270</v>
      </c>
      <c r="B6" s="24" t="s">
        <v>1271</v>
      </c>
      <c r="C6" s="24" t="s">
        <v>2069</v>
      </c>
      <c r="D6" s="24" t="str">
        <f>"1,1423"</f>
        <v>1,1423</v>
      </c>
      <c r="E6" s="38" t="s">
        <v>17</v>
      </c>
      <c r="F6" s="38" t="s">
        <v>1272</v>
      </c>
      <c r="G6" s="24" t="s">
        <v>2460</v>
      </c>
      <c r="H6" s="24" t="s">
        <v>2466</v>
      </c>
      <c r="I6" s="39"/>
      <c r="J6" s="39"/>
      <c r="K6" s="37">
        <v>975</v>
      </c>
      <c r="L6" s="24" t="str">
        <f>"1113,7425"</f>
        <v>1113,7425</v>
      </c>
      <c r="M6" s="38"/>
    </row>
    <row r="7" spans="1:13" s="5" customFormat="1">
      <c r="A7" s="43" t="s">
        <v>1126</v>
      </c>
      <c r="B7" s="26" t="s">
        <v>1127</v>
      </c>
      <c r="C7" s="26" t="s">
        <v>1128</v>
      </c>
      <c r="D7" s="26" t="str">
        <f>"1,1126"</f>
        <v>1,1126</v>
      </c>
      <c r="E7" s="44" t="s">
        <v>17</v>
      </c>
      <c r="F7" s="44" t="s">
        <v>72</v>
      </c>
      <c r="G7" s="26" t="s">
        <v>2701</v>
      </c>
      <c r="H7" s="26" t="s">
        <v>2637</v>
      </c>
      <c r="I7" s="45"/>
      <c r="J7" s="45"/>
      <c r="K7" s="43">
        <v>935</v>
      </c>
      <c r="L7" s="26" t="str">
        <f>"1040,2810"</f>
        <v>1040,2810</v>
      </c>
      <c r="M7" s="44"/>
    </row>
    <row r="8" spans="1:13">
      <c r="A8" s="40" t="s">
        <v>2690</v>
      </c>
      <c r="B8" s="25" t="s">
        <v>2712</v>
      </c>
      <c r="C8" s="25" t="s">
        <v>2711</v>
      </c>
      <c r="D8" s="25" t="str">
        <f>"1,1093"</f>
        <v>1,1093</v>
      </c>
      <c r="E8" s="41" t="s">
        <v>17</v>
      </c>
      <c r="F8" s="41" t="s">
        <v>153</v>
      </c>
      <c r="G8" s="25" t="s">
        <v>2701</v>
      </c>
      <c r="H8" s="25" t="s">
        <v>2452</v>
      </c>
      <c r="I8" s="42"/>
      <c r="J8" s="42"/>
      <c r="K8" s="40">
        <v>907.5</v>
      </c>
      <c r="L8" s="25" t="str">
        <f>"1006,6898"</f>
        <v>1006,6898</v>
      </c>
      <c r="M8" s="41"/>
    </row>
    <row r="10" spans="1:13" ht="15">
      <c r="A10" s="36" t="s">
        <v>127</v>
      </c>
      <c r="B10" s="23"/>
      <c r="C10" s="23"/>
      <c r="D10" s="23"/>
      <c r="E10" s="23"/>
      <c r="F10" s="23"/>
      <c r="G10" s="23"/>
      <c r="H10" s="23"/>
      <c r="I10" s="23"/>
      <c r="J10" s="23"/>
      <c r="K10" s="36"/>
      <c r="L10" s="23"/>
    </row>
    <row r="11" spans="1:13">
      <c r="A11" s="37" t="s">
        <v>1306</v>
      </c>
      <c r="B11" s="24" t="s">
        <v>1307</v>
      </c>
      <c r="C11" s="24" t="s">
        <v>805</v>
      </c>
      <c r="D11" s="24" t="str">
        <f>"1,0024"</f>
        <v>1,0024</v>
      </c>
      <c r="E11" s="38" t="s">
        <v>17</v>
      </c>
      <c r="F11" s="38" t="s">
        <v>481</v>
      </c>
      <c r="G11" s="24" t="s">
        <v>2461</v>
      </c>
      <c r="H11" s="24" t="s">
        <v>133</v>
      </c>
      <c r="I11" s="39"/>
      <c r="J11" s="39"/>
      <c r="K11" s="37">
        <v>1200</v>
      </c>
      <c r="L11" s="24" t="str">
        <f>"1202,8800"</f>
        <v>1202,8800</v>
      </c>
      <c r="M11" s="38"/>
    </row>
    <row r="12" spans="1:13">
      <c r="A12" s="43" t="s">
        <v>2685</v>
      </c>
      <c r="B12" s="26" t="s">
        <v>2710</v>
      </c>
      <c r="C12" s="26" t="s">
        <v>1308</v>
      </c>
      <c r="D12" s="26" t="str">
        <f>"1,0120"</f>
        <v>1,0120</v>
      </c>
      <c r="E12" s="44" t="s">
        <v>17</v>
      </c>
      <c r="F12" s="44" t="s">
        <v>2709</v>
      </c>
      <c r="G12" s="26" t="s">
        <v>2461</v>
      </c>
      <c r="H12" s="26" t="s">
        <v>2450</v>
      </c>
      <c r="I12" s="45"/>
      <c r="J12" s="45"/>
      <c r="K12" s="43">
        <v>810</v>
      </c>
      <c r="L12" s="26" t="str">
        <f>"819,7200"</f>
        <v>819,7200</v>
      </c>
      <c r="M12" s="44"/>
    </row>
    <row r="13" spans="1:13">
      <c r="A13" s="40" t="s">
        <v>1317</v>
      </c>
      <c r="B13" s="25" t="s">
        <v>2708</v>
      </c>
      <c r="C13" s="25" t="s">
        <v>2707</v>
      </c>
      <c r="D13" s="25" t="str">
        <f>"1,0440"</f>
        <v>1,0440</v>
      </c>
      <c r="E13" s="41" t="s">
        <v>17</v>
      </c>
      <c r="F13" s="41" t="s">
        <v>1320</v>
      </c>
      <c r="G13" s="25" t="s">
        <v>2461</v>
      </c>
      <c r="H13" s="25" t="s">
        <v>2466</v>
      </c>
      <c r="I13" s="42"/>
      <c r="J13" s="42"/>
      <c r="K13" s="40">
        <v>1170</v>
      </c>
      <c r="L13" s="25" t="str">
        <f>"1221,5304"</f>
        <v>1221,5304</v>
      </c>
      <c r="M13" s="41"/>
    </row>
    <row r="15" spans="1:13" ht="15">
      <c r="A15" s="36" t="s">
        <v>143</v>
      </c>
      <c r="B15" s="23"/>
      <c r="C15" s="23"/>
      <c r="D15" s="23"/>
      <c r="E15" s="23"/>
      <c r="F15" s="23"/>
      <c r="G15" s="23"/>
      <c r="H15" s="23"/>
      <c r="I15" s="23"/>
      <c r="J15" s="23"/>
      <c r="K15" s="36"/>
      <c r="L15" s="23"/>
    </row>
    <row r="16" spans="1:13">
      <c r="A16" s="19" t="s">
        <v>144</v>
      </c>
      <c r="B16" s="20" t="s">
        <v>145</v>
      </c>
      <c r="C16" s="20" t="s">
        <v>2706</v>
      </c>
      <c r="D16" s="20" t="str">
        <f>"0,9312"</f>
        <v>0,9312</v>
      </c>
      <c r="E16" s="21" t="s">
        <v>17</v>
      </c>
      <c r="F16" s="21" t="s">
        <v>147</v>
      </c>
      <c r="G16" s="20" t="s">
        <v>1359</v>
      </c>
      <c r="H16" s="20" t="s">
        <v>2452</v>
      </c>
      <c r="I16" s="22"/>
      <c r="J16" s="22"/>
      <c r="K16" s="19">
        <v>1072.5</v>
      </c>
      <c r="L16" s="20" t="str">
        <f>"998,6584"</f>
        <v>998,6584</v>
      </c>
      <c r="M16" s="21"/>
    </row>
    <row r="18" spans="1:13" ht="15">
      <c r="A18" s="36" t="s">
        <v>189</v>
      </c>
      <c r="B18" s="23"/>
      <c r="C18" s="23"/>
      <c r="D18" s="23"/>
      <c r="E18" s="23"/>
      <c r="F18" s="23"/>
      <c r="G18" s="23"/>
      <c r="H18" s="23"/>
      <c r="I18" s="23"/>
      <c r="J18" s="23"/>
      <c r="K18" s="36"/>
      <c r="L18" s="23"/>
    </row>
    <row r="19" spans="1:13">
      <c r="A19" s="19" t="s">
        <v>2697</v>
      </c>
      <c r="B19" s="20" t="s">
        <v>2705</v>
      </c>
      <c r="C19" s="20" t="s">
        <v>2699</v>
      </c>
      <c r="D19" s="20" t="str">
        <f>"0,8773"</f>
        <v>0,8773</v>
      </c>
      <c r="E19" s="21" t="s">
        <v>17</v>
      </c>
      <c r="F19" s="21" t="s">
        <v>29</v>
      </c>
      <c r="G19" s="20" t="s">
        <v>1360</v>
      </c>
      <c r="H19" s="20" t="s">
        <v>2635</v>
      </c>
      <c r="I19" s="22"/>
      <c r="J19" s="22"/>
      <c r="K19" s="19">
        <v>1330</v>
      </c>
      <c r="L19" s="20" t="str">
        <f>"1166,8090"</f>
        <v>1166,8090</v>
      </c>
      <c r="M19" s="21"/>
    </row>
    <row r="21" spans="1:13" ht="15">
      <c r="A21" s="36" t="s">
        <v>350</v>
      </c>
      <c r="B21" s="23"/>
      <c r="C21" s="23"/>
      <c r="D21" s="23"/>
      <c r="E21" s="23"/>
      <c r="F21" s="23"/>
      <c r="G21" s="23"/>
      <c r="H21" s="23"/>
      <c r="I21" s="23"/>
      <c r="J21" s="23"/>
      <c r="K21" s="36"/>
      <c r="L21" s="23"/>
    </row>
    <row r="22" spans="1:13">
      <c r="A22" s="37" t="s">
        <v>2681</v>
      </c>
      <c r="B22" s="24" t="s">
        <v>2704</v>
      </c>
      <c r="C22" s="24" t="s">
        <v>2703</v>
      </c>
      <c r="D22" s="24" t="str">
        <f>"1,2487"</f>
        <v>1,2487</v>
      </c>
      <c r="E22" s="38" t="s">
        <v>17</v>
      </c>
      <c r="F22" s="38" t="s">
        <v>29</v>
      </c>
      <c r="G22" s="24" t="s">
        <v>2702</v>
      </c>
      <c r="H22" s="24" t="s">
        <v>2673</v>
      </c>
      <c r="I22" s="39"/>
      <c r="J22" s="39"/>
      <c r="K22" s="37">
        <v>1170</v>
      </c>
      <c r="L22" s="24" t="str">
        <f>"1460,9790"</f>
        <v>1460,9790</v>
      </c>
      <c r="M22" s="38"/>
    </row>
    <row r="23" spans="1:13">
      <c r="A23" s="40" t="s">
        <v>1356</v>
      </c>
      <c r="B23" s="25" t="s">
        <v>1357</v>
      </c>
      <c r="C23" s="25" t="s">
        <v>1358</v>
      </c>
      <c r="D23" s="25" t="str">
        <f>"1,3243"</f>
        <v>1,3243</v>
      </c>
      <c r="E23" s="41" t="s">
        <v>17</v>
      </c>
      <c r="F23" s="41" t="s">
        <v>282</v>
      </c>
      <c r="G23" s="25" t="s">
        <v>2447</v>
      </c>
      <c r="H23" s="25" t="s">
        <v>2635</v>
      </c>
      <c r="I23" s="42"/>
      <c r="J23" s="42"/>
      <c r="K23" s="40">
        <v>760</v>
      </c>
      <c r="L23" s="25" t="str">
        <f>"1006,5060"</f>
        <v>1006,5060</v>
      </c>
      <c r="M23" s="41"/>
    </row>
    <row r="25" spans="1:13" ht="15">
      <c r="A25" s="36" t="s">
        <v>116</v>
      </c>
      <c r="B25" s="23"/>
      <c r="C25" s="23"/>
      <c r="D25" s="23"/>
      <c r="E25" s="23"/>
      <c r="F25" s="23"/>
      <c r="G25" s="23"/>
      <c r="H25" s="23"/>
      <c r="I25" s="23"/>
      <c r="J25" s="23"/>
      <c r="K25" s="36"/>
      <c r="L25" s="23"/>
    </row>
    <row r="26" spans="1:13">
      <c r="A26" s="19" t="s">
        <v>1369</v>
      </c>
      <c r="B26" s="20" t="s">
        <v>1370</v>
      </c>
      <c r="C26" s="20" t="s">
        <v>1371</v>
      </c>
      <c r="D26" s="20" t="str">
        <f>"0,9294"</f>
        <v>0,9294</v>
      </c>
      <c r="E26" s="21" t="s">
        <v>17</v>
      </c>
      <c r="F26" s="21" t="s">
        <v>29</v>
      </c>
      <c r="G26" s="20" t="s">
        <v>2701</v>
      </c>
      <c r="H26" s="20" t="s">
        <v>2460</v>
      </c>
      <c r="I26" s="22"/>
      <c r="J26" s="22"/>
      <c r="K26" s="19">
        <v>687.5</v>
      </c>
      <c r="L26" s="20" t="str">
        <f>"638,9281"</f>
        <v>638,9281</v>
      </c>
      <c r="M26" s="21"/>
    </row>
    <row r="28" spans="1:13" ht="15">
      <c r="A28" s="36" t="s">
        <v>189</v>
      </c>
      <c r="B28" s="23"/>
      <c r="C28" s="23"/>
      <c r="D28" s="23"/>
      <c r="E28" s="23"/>
      <c r="F28" s="23"/>
      <c r="G28" s="23"/>
      <c r="H28" s="23"/>
      <c r="I28" s="23"/>
      <c r="J28" s="23"/>
      <c r="K28" s="36"/>
      <c r="L28" s="23"/>
    </row>
    <row r="29" spans="1:13">
      <c r="A29" s="19" t="s">
        <v>2678</v>
      </c>
      <c r="B29" s="20" t="s">
        <v>2700</v>
      </c>
      <c r="C29" s="20" t="s">
        <v>2699</v>
      </c>
      <c r="D29" s="20" t="str">
        <f>"0,7271"</f>
        <v>0,7271</v>
      </c>
      <c r="E29" s="21" t="s">
        <v>17</v>
      </c>
      <c r="F29" s="21" t="s">
        <v>569</v>
      </c>
      <c r="G29" s="20" t="s">
        <v>1360</v>
      </c>
      <c r="H29" s="20" t="s">
        <v>2489</v>
      </c>
      <c r="I29" s="22"/>
      <c r="J29" s="22"/>
      <c r="K29" s="19">
        <v>1085</v>
      </c>
      <c r="L29" s="20" t="str">
        <f>"788,9035"</f>
        <v>788,9035</v>
      </c>
      <c r="M29" s="21"/>
    </row>
    <row r="31" spans="1:13" ht="15">
      <c r="E31" s="46" t="s">
        <v>84</v>
      </c>
    </row>
    <row r="32" spans="1:13" ht="15">
      <c r="E32" s="46" t="s">
        <v>85</v>
      </c>
    </row>
    <row r="33" spans="1:5" ht="15">
      <c r="E33" s="46" t="s">
        <v>86</v>
      </c>
    </row>
    <row r="34" spans="1:5">
      <c r="E34" s="8" t="s">
        <v>87</v>
      </c>
    </row>
    <row r="35" spans="1:5">
      <c r="E35" s="8" t="s">
        <v>88</v>
      </c>
    </row>
    <row r="36" spans="1:5">
      <c r="E36" s="8" t="s">
        <v>89</v>
      </c>
    </row>
    <row r="39" spans="1:5" ht="18">
      <c r="A39" s="47" t="s">
        <v>90</v>
      </c>
      <c r="B39" s="48"/>
    </row>
    <row r="40" spans="1:5" ht="15">
      <c r="A40" s="49" t="s">
        <v>284</v>
      </c>
      <c r="B40" s="50"/>
    </row>
    <row r="41" spans="1:5" ht="14.25">
      <c r="A41" s="52" t="s">
        <v>285</v>
      </c>
      <c r="B41" s="53"/>
    </row>
    <row r="42" spans="1:5" ht="15">
      <c r="A42" s="54" t="s">
        <v>0</v>
      </c>
      <c r="B42" s="54" t="s">
        <v>93</v>
      </c>
      <c r="C42" s="54" t="s">
        <v>94</v>
      </c>
      <c r="D42" s="54" t="s">
        <v>7</v>
      </c>
      <c r="E42" s="54" t="s">
        <v>95</v>
      </c>
    </row>
    <row r="43" spans="1:5">
      <c r="A43" s="51" t="s">
        <v>1306</v>
      </c>
      <c r="B43" s="5" t="s">
        <v>416</v>
      </c>
      <c r="C43" s="5" t="s">
        <v>287</v>
      </c>
      <c r="D43" s="5" t="s">
        <v>2520</v>
      </c>
      <c r="E43" s="6" t="s">
        <v>2698</v>
      </c>
    </row>
    <row r="45" spans="1:5" ht="14.25">
      <c r="A45" s="52" t="s">
        <v>100</v>
      </c>
      <c r="B45" s="53"/>
    </row>
    <row r="46" spans="1:5" ht="15">
      <c r="A46" s="54" t="s">
        <v>0</v>
      </c>
      <c r="B46" s="54" t="s">
        <v>93</v>
      </c>
      <c r="C46" s="54" t="s">
        <v>94</v>
      </c>
      <c r="D46" s="54" t="s">
        <v>7</v>
      </c>
      <c r="E46" s="54" t="s">
        <v>95</v>
      </c>
    </row>
    <row r="47" spans="1:5">
      <c r="A47" s="51" t="s">
        <v>2697</v>
      </c>
      <c r="B47" s="5" t="s">
        <v>100</v>
      </c>
      <c r="C47" s="5" t="s">
        <v>310</v>
      </c>
      <c r="D47" s="5" t="s">
        <v>2696</v>
      </c>
      <c r="E47" s="6" t="s">
        <v>2695</v>
      </c>
    </row>
    <row r="48" spans="1:5">
      <c r="A48" s="51" t="s">
        <v>1270</v>
      </c>
      <c r="B48" s="5" t="s">
        <v>100</v>
      </c>
      <c r="C48" s="5" t="s">
        <v>411</v>
      </c>
      <c r="D48" s="5" t="s">
        <v>2694</v>
      </c>
      <c r="E48" s="6" t="s">
        <v>2693</v>
      </c>
    </row>
    <row r="49" spans="1:5">
      <c r="A49" s="51" t="s">
        <v>1126</v>
      </c>
      <c r="B49" s="5" t="s">
        <v>100</v>
      </c>
      <c r="C49" s="5" t="s">
        <v>411</v>
      </c>
      <c r="D49" s="5" t="s">
        <v>2692</v>
      </c>
      <c r="E49" s="6" t="s">
        <v>2691</v>
      </c>
    </row>
    <row r="50" spans="1:5">
      <c r="A50" s="51" t="s">
        <v>2690</v>
      </c>
      <c r="B50" s="5" t="s">
        <v>100</v>
      </c>
      <c r="C50" s="5" t="s">
        <v>411</v>
      </c>
      <c r="D50" s="5" t="s">
        <v>2689</v>
      </c>
      <c r="E50" s="6" t="s">
        <v>2688</v>
      </c>
    </row>
    <row r="51" spans="1:5">
      <c r="A51" s="51" t="s">
        <v>144</v>
      </c>
      <c r="B51" s="5" t="s">
        <v>100</v>
      </c>
      <c r="C51" s="5" t="s">
        <v>293</v>
      </c>
      <c r="D51" s="5" t="s">
        <v>2687</v>
      </c>
      <c r="E51" s="6" t="s">
        <v>2686</v>
      </c>
    </row>
    <row r="52" spans="1:5">
      <c r="A52" s="51" t="s">
        <v>2685</v>
      </c>
      <c r="B52" s="5" t="s">
        <v>100</v>
      </c>
      <c r="C52" s="5" t="s">
        <v>287</v>
      </c>
      <c r="D52" s="5" t="s">
        <v>2684</v>
      </c>
      <c r="E52" s="6" t="s">
        <v>2683</v>
      </c>
    </row>
    <row r="54" spans="1:5" ht="14.25">
      <c r="A54" s="52" t="s">
        <v>297</v>
      </c>
      <c r="B54" s="53"/>
    </row>
    <row r="55" spans="1:5" ht="15">
      <c r="A55" s="54" t="s">
        <v>0</v>
      </c>
      <c r="B55" s="54" t="s">
        <v>93</v>
      </c>
      <c r="C55" s="54" t="s">
        <v>94</v>
      </c>
      <c r="D55" s="54" t="s">
        <v>7</v>
      </c>
      <c r="E55" s="54" t="s">
        <v>95</v>
      </c>
    </row>
    <row r="56" spans="1:5">
      <c r="A56" s="51" t="s">
        <v>1317</v>
      </c>
      <c r="B56" s="5" t="s">
        <v>343</v>
      </c>
      <c r="C56" s="5" t="s">
        <v>287</v>
      </c>
      <c r="D56" s="5" t="s">
        <v>2365</v>
      </c>
      <c r="E56" s="6" t="s">
        <v>2682</v>
      </c>
    </row>
    <row r="59" spans="1:5" ht="15">
      <c r="A59" s="49" t="s">
        <v>91</v>
      </c>
      <c r="B59" s="50"/>
    </row>
    <row r="60" spans="1:5" ht="14.25">
      <c r="A60" s="52" t="s">
        <v>285</v>
      </c>
      <c r="B60" s="53"/>
    </row>
    <row r="61" spans="1:5" ht="15">
      <c r="A61" s="54" t="s">
        <v>0</v>
      </c>
      <c r="B61" s="54" t="s">
        <v>93</v>
      </c>
      <c r="C61" s="54" t="s">
        <v>94</v>
      </c>
      <c r="D61" s="54" t="s">
        <v>7</v>
      </c>
      <c r="E61" s="54" t="s">
        <v>95</v>
      </c>
    </row>
    <row r="62" spans="1:5">
      <c r="A62" s="51" t="s">
        <v>2681</v>
      </c>
      <c r="B62" s="5" t="s">
        <v>302</v>
      </c>
      <c r="C62" s="5" t="s">
        <v>411</v>
      </c>
      <c r="D62" s="5" t="s">
        <v>2365</v>
      </c>
      <c r="E62" s="6" t="s">
        <v>2680</v>
      </c>
    </row>
    <row r="63" spans="1:5">
      <c r="A63" s="51" t="s">
        <v>1356</v>
      </c>
      <c r="B63" s="5" t="s">
        <v>302</v>
      </c>
      <c r="C63" s="5" t="s">
        <v>411</v>
      </c>
      <c r="D63" s="5" t="s">
        <v>1253</v>
      </c>
      <c r="E63" s="6" t="s">
        <v>2679</v>
      </c>
    </row>
    <row r="64" spans="1:5">
      <c r="A64" s="51" t="s">
        <v>2678</v>
      </c>
      <c r="B64" s="5" t="s">
        <v>302</v>
      </c>
      <c r="C64" s="5" t="s">
        <v>310</v>
      </c>
      <c r="D64" s="5" t="s">
        <v>2677</v>
      </c>
      <c r="E64" s="6" t="s">
        <v>2676</v>
      </c>
    </row>
    <row r="65" spans="1:5">
      <c r="A65" s="51" t="s">
        <v>1369</v>
      </c>
      <c r="B65" s="5" t="s">
        <v>302</v>
      </c>
      <c r="C65" s="5" t="s">
        <v>289</v>
      </c>
      <c r="D65" s="5" t="s">
        <v>2675</v>
      </c>
      <c r="E65" s="6" t="s">
        <v>2674</v>
      </c>
    </row>
  </sheetData>
  <mergeCells count="18">
    <mergeCell ref="A1:M2"/>
    <mergeCell ref="G3:J3"/>
    <mergeCell ref="A3:A4"/>
    <mergeCell ref="B3:B4"/>
    <mergeCell ref="C3:C4"/>
    <mergeCell ref="M3:M4"/>
    <mergeCell ref="F3:F4"/>
    <mergeCell ref="E3:E4"/>
    <mergeCell ref="A18:L18"/>
    <mergeCell ref="A21:L21"/>
    <mergeCell ref="A25:L25"/>
    <mergeCell ref="A28:L28"/>
    <mergeCell ref="D3:D4"/>
    <mergeCell ref="K3:K4"/>
    <mergeCell ref="L3:L4"/>
    <mergeCell ref="A5:L5"/>
    <mergeCell ref="A10:L10"/>
    <mergeCell ref="A15:L15"/>
  </mergeCells>
  <pageMargins left="0.19" right="0.47" top="0.45" bottom="0.49" header="0.5" footer="0.5"/>
  <pageSetup scale="69" fitToHeight="10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7"/>
  <sheetViews>
    <sheetView workbookViewId="0">
      <selection activeCell="G11" sqref="G11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5.7109375" style="55" bestFit="1" customWidth="1"/>
    <col min="7" max="10" width="5.5703125" style="55" bestFit="1" customWidth="1"/>
    <col min="11" max="11" width="6.7109375" style="55" bestFit="1" customWidth="1"/>
    <col min="12" max="12" width="8.5703125" style="55" bestFit="1" customWidth="1"/>
    <col min="13" max="13" width="23.7109375" style="55" bestFit="1" customWidth="1"/>
  </cols>
  <sheetData>
    <row r="1" spans="1:13" s="1" customFormat="1" ht="15" customHeight="1">
      <c r="A1" s="73" t="s">
        <v>2348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1" customFormat="1" ht="13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6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759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1259</v>
      </c>
      <c r="B6" s="56" t="s">
        <v>1260</v>
      </c>
      <c r="C6" s="56" t="s">
        <v>2060</v>
      </c>
      <c r="D6" s="56" t="str">
        <f>"1,2725"</f>
        <v>1,2725</v>
      </c>
      <c r="E6" s="56" t="s">
        <v>17</v>
      </c>
      <c r="F6" s="56" t="s">
        <v>1262</v>
      </c>
      <c r="G6" s="56" t="s">
        <v>136</v>
      </c>
      <c r="H6" s="57" t="s">
        <v>160</v>
      </c>
      <c r="I6" s="57" t="s">
        <v>160</v>
      </c>
      <c r="J6" s="57"/>
      <c r="K6" s="56">
        <v>105</v>
      </c>
      <c r="L6" s="56" t="str">
        <f>"133,6125"</f>
        <v>133,6125</v>
      </c>
      <c r="M6" s="56"/>
    </row>
    <row r="8" spans="1:13" ht="15">
      <c r="A8" s="58" t="s">
        <v>455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9" t="s">
        <v>1263</v>
      </c>
      <c r="B9" s="59" t="s">
        <v>1264</v>
      </c>
      <c r="C9" s="59" t="s">
        <v>1268</v>
      </c>
      <c r="D9" s="59" t="str">
        <f>"1,1865"</f>
        <v>1,1865</v>
      </c>
      <c r="E9" s="59" t="s">
        <v>17</v>
      </c>
      <c r="F9" s="59" t="s">
        <v>1265</v>
      </c>
      <c r="G9" s="59" t="s">
        <v>135</v>
      </c>
      <c r="H9" s="60" t="s">
        <v>22</v>
      </c>
      <c r="I9" s="60" t="s">
        <v>187</v>
      </c>
      <c r="J9" s="60"/>
      <c r="K9" s="59">
        <v>100</v>
      </c>
      <c r="L9" s="59" t="str">
        <f>"118,6500"</f>
        <v>118,6500</v>
      </c>
      <c r="M9" s="59"/>
    </row>
    <row r="10" spans="1:13">
      <c r="A10" s="61" t="s">
        <v>1263</v>
      </c>
      <c r="B10" s="61" t="s">
        <v>1273</v>
      </c>
      <c r="C10" s="61" t="s">
        <v>1268</v>
      </c>
      <c r="D10" s="61" t="str">
        <f>"1,4048"</f>
        <v>1,4048</v>
      </c>
      <c r="E10" s="61" t="s">
        <v>17</v>
      </c>
      <c r="F10" s="61" t="s">
        <v>1265</v>
      </c>
      <c r="G10" s="61" t="s">
        <v>135</v>
      </c>
      <c r="H10" s="62" t="s">
        <v>22</v>
      </c>
      <c r="I10" s="62" t="s">
        <v>187</v>
      </c>
      <c r="J10" s="62"/>
      <c r="K10" s="61">
        <v>100</v>
      </c>
      <c r="L10" s="61" t="str">
        <f>"140,4816"</f>
        <v>140,4816</v>
      </c>
      <c r="M10" s="61"/>
    </row>
    <row r="12" spans="1:13" ht="15">
      <c r="A12" s="58" t="s">
        <v>350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3">
      <c r="A13" s="59" t="s">
        <v>2061</v>
      </c>
      <c r="B13" s="59" t="s">
        <v>2062</v>
      </c>
      <c r="C13" s="59" t="s">
        <v>2063</v>
      </c>
      <c r="D13" s="59" t="str">
        <f>"1,1370"</f>
        <v>1,1370</v>
      </c>
      <c r="E13" s="59" t="s">
        <v>17</v>
      </c>
      <c r="F13" s="59" t="s">
        <v>51</v>
      </c>
      <c r="G13" s="59" t="s">
        <v>126</v>
      </c>
      <c r="H13" s="60" t="s">
        <v>400</v>
      </c>
      <c r="I13" s="60" t="s">
        <v>400</v>
      </c>
      <c r="J13" s="60"/>
      <c r="K13" s="59">
        <v>125</v>
      </c>
      <c r="L13" s="59" t="str">
        <f>"142,1250"</f>
        <v>142,1250</v>
      </c>
      <c r="M13" s="59"/>
    </row>
    <row r="14" spans="1:13">
      <c r="A14" s="63" t="s">
        <v>2064</v>
      </c>
      <c r="B14" s="63" t="s">
        <v>2065</v>
      </c>
      <c r="C14" s="63" t="s">
        <v>2066</v>
      </c>
      <c r="D14" s="63" t="str">
        <f>"1,1212"</f>
        <v>1,1212</v>
      </c>
      <c r="E14" s="63" t="s">
        <v>17</v>
      </c>
      <c r="F14" s="63" t="s">
        <v>147</v>
      </c>
      <c r="G14" s="64" t="s">
        <v>149</v>
      </c>
      <c r="H14" s="63" t="s">
        <v>149</v>
      </c>
      <c r="I14" s="64" t="s">
        <v>817</v>
      </c>
      <c r="J14" s="64"/>
      <c r="K14" s="63">
        <v>120</v>
      </c>
      <c r="L14" s="63" t="str">
        <f>"134,5440"</f>
        <v>134,5440</v>
      </c>
      <c r="M14" s="63"/>
    </row>
    <row r="15" spans="1:13">
      <c r="A15" s="61" t="s">
        <v>2067</v>
      </c>
      <c r="B15" s="61" t="s">
        <v>2068</v>
      </c>
      <c r="C15" s="61" t="s">
        <v>2069</v>
      </c>
      <c r="D15" s="61" t="str">
        <f>"1,1423"</f>
        <v>1,1423</v>
      </c>
      <c r="E15" s="61" t="s">
        <v>17</v>
      </c>
      <c r="F15" s="61" t="s">
        <v>65</v>
      </c>
      <c r="G15" s="62" t="s">
        <v>135</v>
      </c>
      <c r="H15" s="61" t="s">
        <v>135</v>
      </c>
      <c r="I15" s="62" t="s">
        <v>160</v>
      </c>
      <c r="J15" s="62"/>
      <c r="K15" s="61">
        <v>100</v>
      </c>
      <c r="L15" s="61" t="str">
        <f>"114,2300"</f>
        <v>114,2300</v>
      </c>
      <c r="M15" s="61"/>
    </row>
    <row r="17" spans="1:13" ht="15">
      <c r="A17" s="58" t="s">
        <v>116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>
      <c r="A18" s="59" t="s">
        <v>2070</v>
      </c>
      <c r="B18" s="59" t="s">
        <v>2071</v>
      </c>
      <c r="C18" s="59" t="s">
        <v>2072</v>
      </c>
      <c r="D18" s="59" t="str">
        <f>"1,0484"</f>
        <v>1,0484</v>
      </c>
      <c r="E18" s="59" t="s">
        <v>17</v>
      </c>
      <c r="F18" s="59" t="s">
        <v>1880</v>
      </c>
      <c r="G18" s="59" t="s">
        <v>149</v>
      </c>
      <c r="H18" s="60" t="s">
        <v>817</v>
      </c>
      <c r="I18" s="60" t="s">
        <v>817</v>
      </c>
      <c r="J18" s="60"/>
      <c r="K18" s="59">
        <v>120</v>
      </c>
      <c r="L18" s="59" t="str">
        <f>"125,8080"</f>
        <v>125,8080</v>
      </c>
      <c r="M18" s="59"/>
    </row>
    <row r="19" spans="1:13">
      <c r="A19" s="63" t="s">
        <v>2073</v>
      </c>
      <c r="B19" s="63" t="s">
        <v>2074</v>
      </c>
      <c r="C19" s="63" t="s">
        <v>2075</v>
      </c>
      <c r="D19" s="63" t="str">
        <f>"1,0454"</f>
        <v>1,0454</v>
      </c>
      <c r="E19" s="63" t="s">
        <v>17</v>
      </c>
      <c r="F19" s="63" t="s">
        <v>153</v>
      </c>
      <c r="G19" s="63" t="s">
        <v>22</v>
      </c>
      <c r="H19" s="63" t="s">
        <v>270</v>
      </c>
      <c r="I19" s="64" t="s">
        <v>23</v>
      </c>
      <c r="J19" s="64"/>
      <c r="K19" s="63">
        <v>117.5</v>
      </c>
      <c r="L19" s="63" t="str">
        <f>"122,8345"</f>
        <v>122,8345</v>
      </c>
      <c r="M19" s="63"/>
    </row>
    <row r="20" spans="1:13">
      <c r="A20" s="63" t="s">
        <v>2076</v>
      </c>
      <c r="B20" s="63" t="s">
        <v>2077</v>
      </c>
      <c r="C20" s="63" t="s">
        <v>2078</v>
      </c>
      <c r="D20" s="63" t="str">
        <f>"1,0606"</f>
        <v>1,0606</v>
      </c>
      <c r="E20" s="63" t="s">
        <v>17</v>
      </c>
      <c r="F20" s="63" t="s">
        <v>153</v>
      </c>
      <c r="G20" s="64" t="s">
        <v>160</v>
      </c>
      <c r="H20" s="63" t="s">
        <v>160</v>
      </c>
      <c r="I20" s="64" t="s">
        <v>23</v>
      </c>
      <c r="J20" s="64"/>
      <c r="K20" s="63">
        <v>115</v>
      </c>
      <c r="L20" s="63" t="str">
        <f>"121,9690"</f>
        <v>121,9690</v>
      </c>
      <c r="M20" s="63" t="s">
        <v>2079</v>
      </c>
    </row>
    <row r="21" spans="1:13">
      <c r="A21" s="61" t="s">
        <v>1300</v>
      </c>
      <c r="B21" s="61" t="s">
        <v>1301</v>
      </c>
      <c r="C21" s="61" t="s">
        <v>1363</v>
      </c>
      <c r="D21" s="61" t="str">
        <f>"1,4260"</f>
        <v>1,4260</v>
      </c>
      <c r="E21" s="61" t="s">
        <v>17</v>
      </c>
      <c r="F21" s="61" t="s">
        <v>153</v>
      </c>
      <c r="G21" s="61" t="s">
        <v>123</v>
      </c>
      <c r="H21" s="61" t="s">
        <v>160</v>
      </c>
      <c r="I21" s="61" t="s">
        <v>149</v>
      </c>
      <c r="J21" s="62" t="s">
        <v>23</v>
      </c>
      <c r="K21" s="61">
        <v>120</v>
      </c>
      <c r="L21" s="61" t="str">
        <f>"171,1161"</f>
        <v>171,1161</v>
      </c>
      <c r="M21" s="61"/>
    </row>
    <row r="23" spans="1:13" ht="15">
      <c r="A23" s="58" t="s">
        <v>127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3">
      <c r="A24" s="59" t="s">
        <v>2080</v>
      </c>
      <c r="B24" s="59" t="s">
        <v>2081</v>
      </c>
      <c r="C24" s="59" t="s">
        <v>1311</v>
      </c>
      <c r="D24" s="59" t="str">
        <f>"1,0051"</f>
        <v>1,0051</v>
      </c>
      <c r="E24" s="59" t="s">
        <v>17</v>
      </c>
      <c r="F24" s="59" t="s">
        <v>153</v>
      </c>
      <c r="G24" s="60" t="s">
        <v>270</v>
      </c>
      <c r="H24" s="59" t="s">
        <v>270</v>
      </c>
      <c r="I24" s="60"/>
      <c r="J24" s="60"/>
      <c r="K24" s="59">
        <v>117.5</v>
      </c>
      <c r="L24" s="59" t="str">
        <f>"118,0993"</f>
        <v>118,0993</v>
      </c>
      <c r="M24" s="59" t="s">
        <v>2082</v>
      </c>
    </row>
    <row r="25" spans="1:13">
      <c r="A25" s="63" t="s">
        <v>128</v>
      </c>
      <c r="B25" s="63" t="s">
        <v>129</v>
      </c>
      <c r="C25" s="63" t="s">
        <v>130</v>
      </c>
      <c r="D25" s="63" t="str">
        <f>"1,0135"</f>
        <v>1,0135</v>
      </c>
      <c r="E25" s="63" t="s">
        <v>17</v>
      </c>
      <c r="F25" s="63" t="s">
        <v>29</v>
      </c>
      <c r="G25" s="63" t="s">
        <v>121</v>
      </c>
      <c r="H25" s="64" t="s">
        <v>122</v>
      </c>
      <c r="I25" s="63" t="s">
        <v>123</v>
      </c>
      <c r="J25" s="64"/>
      <c r="K25" s="63">
        <v>107.5</v>
      </c>
      <c r="L25" s="63" t="str">
        <f>"108,9512"</f>
        <v>108,9512</v>
      </c>
      <c r="M25" s="63" t="s">
        <v>137</v>
      </c>
    </row>
    <row r="26" spans="1:13">
      <c r="A26" s="63" t="s">
        <v>769</v>
      </c>
      <c r="B26" s="63" t="s">
        <v>770</v>
      </c>
      <c r="C26" s="63" t="s">
        <v>140</v>
      </c>
      <c r="D26" s="63" t="str">
        <f>"0,9903"</f>
        <v>0,9903</v>
      </c>
      <c r="E26" s="63" t="s">
        <v>17</v>
      </c>
      <c r="F26" s="63" t="s">
        <v>700</v>
      </c>
      <c r="G26" s="63" t="s">
        <v>20</v>
      </c>
      <c r="H26" s="63" t="s">
        <v>43</v>
      </c>
      <c r="I26" s="64" t="s">
        <v>625</v>
      </c>
      <c r="J26" s="64"/>
      <c r="K26" s="63">
        <v>170</v>
      </c>
      <c r="L26" s="63" t="str">
        <f>"168,3510"</f>
        <v>168,3510</v>
      </c>
      <c r="M26" s="63"/>
    </row>
    <row r="27" spans="1:13">
      <c r="A27" s="63" t="s">
        <v>2083</v>
      </c>
      <c r="B27" s="63" t="s">
        <v>2084</v>
      </c>
      <c r="C27" s="63" t="s">
        <v>2085</v>
      </c>
      <c r="D27" s="63" t="str">
        <f>"1,0234"</f>
        <v>1,0234</v>
      </c>
      <c r="E27" s="63" t="s">
        <v>17</v>
      </c>
      <c r="F27" s="63" t="s">
        <v>153</v>
      </c>
      <c r="G27" s="63" t="s">
        <v>24</v>
      </c>
      <c r="H27" s="63" t="s">
        <v>836</v>
      </c>
      <c r="I27" s="63" t="s">
        <v>33</v>
      </c>
      <c r="J27" s="64"/>
      <c r="K27" s="63">
        <v>150</v>
      </c>
      <c r="L27" s="63" t="str">
        <f>"153,5100"</f>
        <v>153,5100</v>
      </c>
      <c r="M27" s="63"/>
    </row>
    <row r="28" spans="1:13">
      <c r="A28" s="63" t="s">
        <v>2086</v>
      </c>
      <c r="B28" s="63" t="s">
        <v>2087</v>
      </c>
      <c r="C28" s="63" t="s">
        <v>1311</v>
      </c>
      <c r="D28" s="63" t="str">
        <f>"1,0051"</f>
        <v>1,0051</v>
      </c>
      <c r="E28" s="63" t="s">
        <v>17</v>
      </c>
      <c r="F28" s="63" t="s">
        <v>51</v>
      </c>
      <c r="G28" s="63" t="s">
        <v>135</v>
      </c>
      <c r="H28" s="63" t="s">
        <v>22</v>
      </c>
      <c r="I28" s="63" t="s">
        <v>160</v>
      </c>
      <c r="J28" s="64"/>
      <c r="K28" s="63">
        <v>115</v>
      </c>
      <c r="L28" s="63" t="str">
        <f>"115,5865"</f>
        <v>115,5865</v>
      </c>
      <c r="M28" s="63"/>
    </row>
    <row r="29" spans="1:13">
      <c r="A29" s="61" t="s">
        <v>2088</v>
      </c>
      <c r="B29" s="61" t="s">
        <v>2089</v>
      </c>
      <c r="C29" s="61" t="s">
        <v>2090</v>
      </c>
      <c r="D29" s="61" t="str">
        <f>"0,9997"</f>
        <v>0,9997</v>
      </c>
      <c r="E29" s="61" t="s">
        <v>17</v>
      </c>
      <c r="F29" s="61" t="s">
        <v>153</v>
      </c>
      <c r="G29" s="61" t="s">
        <v>155</v>
      </c>
      <c r="H29" s="61" t="s">
        <v>132</v>
      </c>
      <c r="I29" s="62" t="s">
        <v>477</v>
      </c>
      <c r="J29" s="62"/>
      <c r="K29" s="61">
        <v>90</v>
      </c>
      <c r="L29" s="61" t="str">
        <f>"89,9730"</f>
        <v>89,9730</v>
      </c>
      <c r="M29" s="61" t="s">
        <v>1282</v>
      </c>
    </row>
    <row r="31" spans="1:13" ht="15">
      <c r="A31" s="58" t="s">
        <v>143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3">
      <c r="A32" s="59" t="s">
        <v>2091</v>
      </c>
      <c r="B32" s="59" t="s">
        <v>2092</v>
      </c>
      <c r="C32" s="59" t="s">
        <v>2093</v>
      </c>
      <c r="D32" s="59" t="str">
        <f>"0,9380"</f>
        <v>0,9380</v>
      </c>
      <c r="E32" s="59" t="s">
        <v>17</v>
      </c>
      <c r="F32" s="59" t="s">
        <v>1324</v>
      </c>
      <c r="G32" s="59" t="s">
        <v>131</v>
      </c>
      <c r="H32" s="59" t="s">
        <v>465</v>
      </c>
      <c r="I32" s="60" t="s">
        <v>132</v>
      </c>
      <c r="J32" s="60"/>
      <c r="K32" s="59">
        <v>87.5</v>
      </c>
      <c r="L32" s="59" t="str">
        <f>"82,0794"</f>
        <v>82,0794</v>
      </c>
      <c r="M32" s="59"/>
    </row>
    <row r="33" spans="1:13">
      <c r="A33" s="63" t="s">
        <v>777</v>
      </c>
      <c r="B33" s="63" t="s">
        <v>778</v>
      </c>
      <c r="C33" s="63" t="s">
        <v>2094</v>
      </c>
      <c r="D33" s="63" t="str">
        <f>"0,9145"</f>
        <v>0,9145</v>
      </c>
      <c r="E33" s="63" t="s">
        <v>17</v>
      </c>
      <c r="F33" s="63" t="s">
        <v>569</v>
      </c>
      <c r="G33" s="63" t="s">
        <v>149</v>
      </c>
      <c r="H33" s="63" t="s">
        <v>24</v>
      </c>
      <c r="I33" s="63" t="s">
        <v>355</v>
      </c>
      <c r="J33" s="64"/>
      <c r="K33" s="63">
        <v>137.5</v>
      </c>
      <c r="L33" s="63" t="str">
        <f>"125,7437"</f>
        <v>125,7437</v>
      </c>
      <c r="M33" s="63"/>
    </row>
    <row r="34" spans="1:13">
      <c r="A34" s="63" t="s">
        <v>144</v>
      </c>
      <c r="B34" s="63" t="s">
        <v>145</v>
      </c>
      <c r="C34" s="63" t="s">
        <v>818</v>
      </c>
      <c r="D34" s="63" t="str">
        <f>"0,9113"</f>
        <v>0,9113</v>
      </c>
      <c r="E34" s="63" t="s">
        <v>17</v>
      </c>
      <c r="F34" s="63" t="s">
        <v>147</v>
      </c>
      <c r="G34" s="63" t="s">
        <v>160</v>
      </c>
      <c r="H34" s="63" t="s">
        <v>126</v>
      </c>
      <c r="I34" s="64" t="s">
        <v>173</v>
      </c>
      <c r="J34" s="64"/>
      <c r="K34" s="63">
        <v>125</v>
      </c>
      <c r="L34" s="63" t="str">
        <f>"113,9125"</f>
        <v>113,9125</v>
      </c>
      <c r="M34" s="63"/>
    </row>
    <row r="35" spans="1:13">
      <c r="A35" s="63" t="s">
        <v>2095</v>
      </c>
      <c r="B35" s="63" t="s">
        <v>2096</v>
      </c>
      <c r="C35" s="63" t="s">
        <v>362</v>
      </c>
      <c r="D35" s="63" t="str">
        <f>"0,9000"</f>
        <v>0,9000</v>
      </c>
      <c r="E35" s="63" t="s">
        <v>17</v>
      </c>
      <c r="F35" s="63" t="s">
        <v>147</v>
      </c>
      <c r="G35" s="63" t="s">
        <v>126</v>
      </c>
      <c r="H35" s="64" t="s">
        <v>173</v>
      </c>
      <c r="I35" s="64" t="s">
        <v>173</v>
      </c>
      <c r="J35" s="64"/>
      <c r="K35" s="63">
        <v>125</v>
      </c>
      <c r="L35" s="63" t="str">
        <f>"112,4938"</f>
        <v>112,4938</v>
      </c>
      <c r="M35" s="63"/>
    </row>
    <row r="36" spans="1:13">
      <c r="A36" s="63" t="s">
        <v>1985</v>
      </c>
      <c r="B36" s="63" t="s">
        <v>1986</v>
      </c>
      <c r="C36" s="63" t="s">
        <v>1987</v>
      </c>
      <c r="D36" s="63" t="str">
        <f>"0,9571"</f>
        <v>0,9571</v>
      </c>
      <c r="E36" s="63" t="s">
        <v>17</v>
      </c>
      <c r="F36" s="63" t="s">
        <v>745</v>
      </c>
      <c r="G36" s="64" t="s">
        <v>165</v>
      </c>
      <c r="H36" s="64"/>
      <c r="I36" s="64"/>
      <c r="J36" s="64"/>
      <c r="K36" s="63">
        <v>0</v>
      </c>
      <c r="L36" s="63" t="str">
        <f>"0,0000"</f>
        <v>0,0000</v>
      </c>
      <c r="M36" s="63"/>
    </row>
    <row r="37" spans="1:13">
      <c r="A37" s="61" t="s">
        <v>2097</v>
      </c>
      <c r="B37" s="61" t="s">
        <v>2098</v>
      </c>
      <c r="C37" s="61" t="s">
        <v>2099</v>
      </c>
      <c r="D37" s="61" t="str">
        <f>"0,9978"</f>
        <v>0,9978</v>
      </c>
      <c r="E37" s="61" t="s">
        <v>17</v>
      </c>
      <c r="F37" s="61" t="s">
        <v>601</v>
      </c>
      <c r="G37" s="61" t="s">
        <v>24</v>
      </c>
      <c r="H37" s="62" t="s">
        <v>836</v>
      </c>
      <c r="I37" s="62" t="s">
        <v>836</v>
      </c>
      <c r="J37" s="62"/>
      <c r="K37" s="61">
        <v>135</v>
      </c>
      <c r="L37" s="61" t="str">
        <f>"134,7058"</f>
        <v>134,7058</v>
      </c>
      <c r="M37" s="61"/>
    </row>
    <row r="39" spans="1:13" ht="15">
      <c r="A39" s="58" t="s">
        <v>189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3">
      <c r="A40" s="56" t="s">
        <v>2100</v>
      </c>
      <c r="B40" s="56" t="s">
        <v>2101</v>
      </c>
      <c r="C40" s="56" t="s">
        <v>192</v>
      </c>
      <c r="D40" s="56" t="str">
        <f>"0,8361"</f>
        <v>0,8361</v>
      </c>
      <c r="E40" s="56" t="s">
        <v>17</v>
      </c>
      <c r="F40" s="56" t="s">
        <v>147</v>
      </c>
      <c r="G40" s="57" t="s">
        <v>24</v>
      </c>
      <c r="H40" s="57" t="s">
        <v>24</v>
      </c>
      <c r="I40" s="57" t="s">
        <v>24</v>
      </c>
      <c r="J40" s="57"/>
      <c r="K40" s="56">
        <v>0</v>
      </c>
      <c r="L40" s="56" t="str">
        <f>"0,0000"</f>
        <v>0,0000</v>
      </c>
      <c r="M40" s="56"/>
    </row>
    <row r="42" spans="1:13" ht="15">
      <c r="A42" s="58" t="s">
        <v>127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3">
      <c r="A43" s="59" t="s">
        <v>2102</v>
      </c>
      <c r="B43" s="59" t="s">
        <v>2103</v>
      </c>
      <c r="C43" s="59" t="s">
        <v>2104</v>
      </c>
      <c r="D43" s="59" t="str">
        <f>"0,8411"</f>
        <v>0,8411</v>
      </c>
      <c r="E43" s="59" t="s">
        <v>17</v>
      </c>
      <c r="F43" s="59" t="s">
        <v>2105</v>
      </c>
      <c r="G43" s="60" t="s">
        <v>30</v>
      </c>
      <c r="H43" s="60" t="s">
        <v>30</v>
      </c>
      <c r="I43" s="59" t="s">
        <v>30</v>
      </c>
      <c r="J43" s="60"/>
      <c r="K43" s="59">
        <v>200</v>
      </c>
      <c r="L43" s="59" t="str">
        <f>"168,2100"</f>
        <v>168,2100</v>
      </c>
      <c r="M43" s="59" t="s">
        <v>2106</v>
      </c>
    </row>
    <row r="44" spans="1:13">
      <c r="A44" s="63" t="s">
        <v>2107</v>
      </c>
      <c r="B44" s="63" t="s">
        <v>2108</v>
      </c>
      <c r="C44" s="63" t="s">
        <v>2109</v>
      </c>
      <c r="D44" s="63" t="str">
        <f>"0,8568"</f>
        <v>0,8568</v>
      </c>
      <c r="E44" s="63" t="s">
        <v>17</v>
      </c>
      <c r="F44" s="63" t="s">
        <v>2110</v>
      </c>
      <c r="G44" s="63" t="s">
        <v>43</v>
      </c>
      <c r="H44" s="63" t="s">
        <v>21</v>
      </c>
      <c r="I44" s="64" t="s">
        <v>30</v>
      </c>
      <c r="J44" s="64"/>
      <c r="K44" s="63">
        <v>180</v>
      </c>
      <c r="L44" s="63" t="str">
        <f>"154,2150"</f>
        <v>154,2150</v>
      </c>
      <c r="M44" s="63"/>
    </row>
    <row r="45" spans="1:13">
      <c r="A45" s="61" t="s">
        <v>2111</v>
      </c>
      <c r="B45" s="61" t="s">
        <v>2112</v>
      </c>
      <c r="C45" s="61" t="s">
        <v>2113</v>
      </c>
      <c r="D45" s="61" t="str">
        <f>"0,8369"</f>
        <v>0,8369</v>
      </c>
      <c r="E45" s="61" t="s">
        <v>17</v>
      </c>
      <c r="F45" s="61" t="s">
        <v>2017</v>
      </c>
      <c r="G45" s="61" t="s">
        <v>34</v>
      </c>
      <c r="H45" s="61" t="s">
        <v>42</v>
      </c>
      <c r="I45" s="62" t="s">
        <v>54</v>
      </c>
      <c r="J45" s="62"/>
      <c r="K45" s="61">
        <v>165</v>
      </c>
      <c r="L45" s="61" t="str">
        <f>"138,0885"</f>
        <v>138,0885</v>
      </c>
      <c r="M45" s="61" t="s">
        <v>2114</v>
      </c>
    </row>
    <row r="47" spans="1:13" ht="15">
      <c r="A47" s="58" t="s">
        <v>143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3">
      <c r="A48" s="59" t="s">
        <v>2115</v>
      </c>
      <c r="B48" s="59" t="s">
        <v>2116</v>
      </c>
      <c r="C48" s="59" t="s">
        <v>1145</v>
      </c>
      <c r="D48" s="59" t="str">
        <f>"0,7513"</f>
        <v>0,7513</v>
      </c>
      <c r="E48" s="59" t="s">
        <v>17</v>
      </c>
      <c r="F48" s="59" t="s">
        <v>51</v>
      </c>
      <c r="G48" s="59" t="s">
        <v>30</v>
      </c>
      <c r="H48" s="59" t="s">
        <v>31</v>
      </c>
      <c r="I48" s="59" t="s">
        <v>52</v>
      </c>
      <c r="J48" s="60" t="s">
        <v>2117</v>
      </c>
      <c r="K48" s="59">
        <v>230</v>
      </c>
      <c r="L48" s="59" t="str">
        <f>"172,7875"</f>
        <v>172,7875</v>
      </c>
      <c r="M48" s="59"/>
    </row>
    <row r="49" spans="1:13">
      <c r="A49" s="63" t="s">
        <v>2118</v>
      </c>
      <c r="B49" s="63" t="s">
        <v>2119</v>
      </c>
      <c r="C49" s="63" t="s">
        <v>1139</v>
      </c>
      <c r="D49" s="63" t="str">
        <f>"0,7494"</f>
        <v>0,7494</v>
      </c>
      <c r="E49" s="63" t="s">
        <v>40</v>
      </c>
      <c r="F49" s="63" t="s">
        <v>354</v>
      </c>
      <c r="G49" s="63" t="s">
        <v>31</v>
      </c>
      <c r="H49" s="64" t="s">
        <v>180</v>
      </c>
      <c r="I49" s="63" t="s">
        <v>180</v>
      </c>
      <c r="J49" s="64"/>
      <c r="K49" s="63">
        <v>232.5</v>
      </c>
      <c r="L49" s="63" t="str">
        <f>"174,2239"</f>
        <v>174,2239</v>
      </c>
      <c r="M49" s="63"/>
    </row>
    <row r="50" spans="1:13">
      <c r="A50" s="63" t="s">
        <v>2120</v>
      </c>
      <c r="B50" s="63" t="s">
        <v>2121</v>
      </c>
      <c r="C50" s="63" t="s">
        <v>2122</v>
      </c>
      <c r="D50" s="63" t="str">
        <f>"0,7640"</f>
        <v>0,7640</v>
      </c>
      <c r="E50" s="63" t="s">
        <v>17</v>
      </c>
      <c r="F50" s="63" t="s">
        <v>72</v>
      </c>
      <c r="G50" s="63" t="s">
        <v>31</v>
      </c>
      <c r="H50" s="64" t="s">
        <v>52</v>
      </c>
      <c r="I50" s="64" t="s">
        <v>52</v>
      </c>
      <c r="J50" s="64"/>
      <c r="K50" s="63">
        <v>220</v>
      </c>
      <c r="L50" s="63" t="str">
        <f>"168,0800"</f>
        <v>168,0800</v>
      </c>
      <c r="M50" s="63"/>
    </row>
    <row r="51" spans="1:13">
      <c r="A51" s="63" t="s">
        <v>2123</v>
      </c>
      <c r="B51" s="63" t="s">
        <v>2124</v>
      </c>
      <c r="C51" s="63" t="s">
        <v>1145</v>
      </c>
      <c r="D51" s="63" t="str">
        <f>"1,4409"</f>
        <v>1,4409</v>
      </c>
      <c r="E51" s="63" t="s">
        <v>17</v>
      </c>
      <c r="F51" s="63" t="s">
        <v>2125</v>
      </c>
      <c r="G51" s="63" t="s">
        <v>34</v>
      </c>
      <c r="H51" s="63" t="s">
        <v>20</v>
      </c>
      <c r="I51" s="64" t="s">
        <v>42</v>
      </c>
      <c r="J51" s="64"/>
      <c r="K51" s="63">
        <v>160</v>
      </c>
      <c r="L51" s="63" t="str">
        <f>"230,5436"</f>
        <v>230,5436</v>
      </c>
      <c r="M51" s="63"/>
    </row>
    <row r="52" spans="1:13">
      <c r="A52" s="61" t="s">
        <v>2126</v>
      </c>
      <c r="B52" s="61" t="s">
        <v>2127</v>
      </c>
      <c r="C52" s="61" t="s">
        <v>2128</v>
      </c>
      <c r="D52" s="61" t="str">
        <f>"1,5853"</f>
        <v>1,5853</v>
      </c>
      <c r="E52" s="61" t="s">
        <v>17</v>
      </c>
      <c r="F52" s="61" t="s">
        <v>2129</v>
      </c>
      <c r="G52" s="61" t="s">
        <v>20</v>
      </c>
      <c r="H52" s="62" t="s">
        <v>178</v>
      </c>
      <c r="I52" s="62"/>
      <c r="J52" s="62"/>
      <c r="K52" s="61">
        <v>160</v>
      </c>
      <c r="L52" s="61" t="str">
        <f>"253,6424"</f>
        <v>253,6424</v>
      </c>
      <c r="M52" s="61"/>
    </row>
    <row r="54" spans="1:13" ht="15">
      <c r="A54" s="58" t="s">
        <v>189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3">
      <c r="A55" s="59" t="s">
        <v>2130</v>
      </c>
      <c r="B55" s="59" t="s">
        <v>2131</v>
      </c>
      <c r="C55" s="59" t="s">
        <v>1227</v>
      </c>
      <c r="D55" s="59" t="str">
        <f>"0,6934"</f>
        <v>0,6934</v>
      </c>
      <c r="E55" s="59" t="s">
        <v>17</v>
      </c>
      <c r="F55" s="59" t="s">
        <v>392</v>
      </c>
      <c r="G55" s="59" t="s">
        <v>20</v>
      </c>
      <c r="H55" s="59" t="s">
        <v>43</v>
      </c>
      <c r="I55" s="60" t="s">
        <v>625</v>
      </c>
      <c r="J55" s="60"/>
      <c r="K55" s="59">
        <v>170</v>
      </c>
      <c r="L55" s="59" t="str">
        <f>"117,8695"</f>
        <v>117,8695</v>
      </c>
      <c r="M55" s="59" t="s">
        <v>1605</v>
      </c>
    </row>
    <row r="56" spans="1:13">
      <c r="A56" s="63" t="s">
        <v>823</v>
      </c>
      <c r="B56" s="63" t="s">
        <v>824</v>
      </c>
      <c r="C56" s="63" t="s">
        <v>2132</v>
      </c>
      <c r="D56" s="63" t="str">
        <f>"0,6892"</f>
        <v>0,6892</v>
      </c>
      <c r="E56" s="63" t="s">
        <v>17</v>
      </c>
      <c r="F56" s="63" t="s">
        <v>826</v>
      </c>
      <c r="G56" s="63" t="s">
        <v>44</v>
      </c>
      <c r="H56" s="63" t="s">
        <v>211</v>
      </c>
      <c r="I56" s="63" t="s">
        <v>180</v>
      </c>
      <c r="J56" s="64"/>
      <c r="K56" s="63">
        <v>232.5</v>
      </c>
      <c r="L56" s="63" t="str">
        <f>"160,2390"</f>
        <v>160,2390</v>
      </c>
      <c r="M56" s="63" t="s">
        <v>827</v>
      </c>
    </row>
    <row r="57" spans="1:13">
      <c r="A57" s="63" t="s">
        <v>2133</v>
      </c>
      <c r="B57" s="63" t="s">
        <v>2134</v>
      </c>
      <c r="C57" s="63" t="s">
        <v>825</v>
      </c>
      <c r="D57" s="63" t="str">
        <f>"0,7019"</f>
        <v>0,7019</v>
      </c>
      <c r="E57" s="63" t="s">
        <v>17</v>
      </c>
      <c r="F57" s="63" t="s">
        <v>2135</v>
      </c>
      <c r="G57" s="63" t="s">
        <v>186</v>
      </c>
      <c r="H57" s="64" t="s">
        <v>31</v>
      </c>
      <c r="I57" s="63" t="s">
        <v>31</v>
      </c>
      <c r="J57" s="64"/>
      <c r="K57" s="63">
        <v>220</v>
      </c>
      <c r="L57" s="63" t="str">
        <f>"154,4180"</f>
        <v>154,4180</v>
      </c>
      <c r="M57" s="63"/>
    </row>
    <row r="58" spans="1:13">
      <c r="A58" s="63" t="s">
        <v>828</v>
      </c>
      <c r="B58" s="63" t="s">
        <v>829</v>
      </c>
      <c r="C58" s="63" t="s">
        <v>2136</v>
      </c>
      <c r="D58" s="63" t="str">
        <f>"0,7110"</f>
        <v>0,7110</v>
      </c>
      <c r="E58" s="63" t="s">
        <v>17</v>
      </c>
      <c r="F58" s="63" t="s">
        <v>282</v>
      </c>
      <c r="G58" s="63" t="s">
        <v>188</v>
      </c>
      <c r="H58" s="63" t="s">
        <v>831</v>
      </c>
      <c r="I58" s="63" t="s">
        <v>61</v>
      </c>
      <c r="J58" s="64"/>
      <c r="K58" s="63">
        <v>210</v>
      </c>
      <c r="L58" s="63" t="str">
        <f>"149,2995"</f>
        <v>149,2995</v>
      </c>
      <c r="M58" s="63" t="s">
        <v>832</v>
      </c>
    </row>
    <row r="59" spans="1:13">
      <c r="A59" s="63" t="s">
        <v>833</v>
      </c>
      <c r="B59" s="63" t="s">
        <v>834</v>
      </c>
      <c r="C59" s="63" t="s">
        <v>199</v>
      </c>
      <c r="D59" s="63" t="str">
        <f>"0,6899"</f>
        <v>0,6899</v>
      </c>
      <c r="E59" s="63" t="s">
        <v>17</v>
      </c>
      <c r="F59" s="63" t="s">
        <v>826</v>
      </c>
      <c r="G59" s="63" t="s">
        <v>188</v>
      </c>
      <c r="H59" s="64" t="s">
        <v>565</v>
      </c>
      <c r="I59" s="63" t="s">
        <v>565</v>
      </c>
      <c r="J59" s="64"/>
      <c r="K59" s="63">
        <v>207.5</v>
      </c>
      <c r="L59" s="63" t="str">
        <f>"143,1542"</f>
        <v>143,1542</v>
      </c>
      <c r="M59" s="63" t="s">
        <v>827</v>
      </c>
    </row>
    <row r="60" spans="1:13">
      <c r="A60" s="63" t="s">
        <v>2137</v>
      </c>
      <c r="B60" s="63" t="s">
        <v>2138</v>
      </c>
      <c r="C60" s="63" t="s">
        <v>2139</v>
      </c>
      <c r="D60" s="63" t="str">
        <f>"0,7366"</f>
        <v>0,7366</v>
      </c>
      <c r="E60" s="63" t="s">
        <v>17</v>
      </c>
      <c r="F60" s="63" t="s">
        <v>29</v>
      </c>
      <c r="G60" s="64" t="s">
        <v>36</v>
      </c>
      <c r="H60" s="63" t="s">
        <v>36</v>
      </c>
      <c r="I60" s="64" t="s">
        <v>53</v>
      </c>
      <c r="J60" s="64"/>
      <c r="K60" s="63">
        <v>240</v>
      </c>
      <c r="L60" s="63" t="str">
        <f>"176,7840"</f>
        <v>176,7840</v>
      </c>
      <c r="M60" s="63"/>
    </row>
    <row r="61" spans="1:13">
      <c r="A61" s="63" t="s">
        <v>845</v>
      </c>
      <c r="B61" s="63" t="s">
        <v>846</v>
      </c>
      <c r="C61" s="63" t="s">
        <v>689</v>
      </c>
      <c r="D61" s="63" t="str">
        <f>"0,7027"</f>
        <v>0,7027</v>
      </c>
      <c r="E61" s="63" t="s">
        <v>17</v>
      </c>
      <c r="F61" s="63" t="s">
        <v>826</v>
      </c>
      <c r="G61" s="63" t="s">
        <v>44</v>
      </c>
      <c r="H61" s="64" t="s">
        <v>181</v>
      </c>
      <c r="I61" s="64" t="s">
        <v>181</v>
      </c>
      <c r="J61" s="64"/>
      <c r="K61" s="63">
        <v>215</v>
      </c>
      <c r="L61" s="63" t="str">
        <f>"151,0698"</f>
        <v>151,0698</v>
      </c>
      <c r="M61" s="63" t="s">
        <v>827</v>
      </c>
    </row>
    <row r="62" spans="1:13">
      <c r="A62" s="63" t="s">
        <v>1143</v>
      </c>
      <c r="B62" s="63" t="s">
        <v>1144</v>
      </c>
      <c r="C62" s="63" t="s">
        <v>440</v>
      </c>
      <c r="D62" s="63" t="str">
        <f>"0,7095"</f>
        <v>0,7095</v>
      </c>
      <c r="E62" s="63" t="s">
        <v>269</v>
      </c>
      <c r="F62" s="63" t="s">
        <v>164</v>
      </c>
      <c r="G62" s="63" t="s">
        <v>211</v>
      </c>
      <c r="H62" s="63" t="s">
        <v>35</v>
      </c>
      <c r="I62" s="64" t="s">
        <v>36</v>
      </c>
      <c r="J62" s="64"/>
      <c r="K62" s="63">
        <v>235</v>
      </c>
      <c r="L62" s="63" t="str">
        <f>"166,7208"</f>
        <v>166,7208</v>
      </c>
      <c r="M62" s="63"/>
    </row>
    <row r="63" spans="1:13">
      <c r="A63" s="63" t="s">
        <v>2140</v>
      </c>
      <c r="B63" s="63" t="s">
        <v>2141</v>
      </c>
      <c r="C63" s="63" t="s">
        <v>684</v>
      </c>
      <c r="D63" s="63" t="str">
        <f>"0,7125"</f>
        <v>0,7125</v>
      </c>
      <c r="E63" s="63" t="s">
        <v>17</v>
      </c>
      <c r="F63" s="63" t="s">
        <v>392</v>
      </c>
      <c r="G63" s="63" t="s">
        <v>30</v>
      </c>
      <c r="H63" s="63" t="s">
        <v>31</v>
      </c>
      <c r="I63" s="64" t="s">
        <v>180</v>
      </c>
      <c r="J63" s="64"/>
      <c r="K63" s="63">
        <v>220</v>
      </c>
      <c r="L63" s="63" t="str">
        <f>"156,7500"</f>
        <v>156,7500</v>
      </c>
      <c r="M63" s="63" t="s">
        <v>1605</v>
      </c>
    </row>
    <row r="64" spans="1:13">
      <c r="A64" s="63" t="s">
        <v>2142</v>
      </c>
      <c r="B64" s="63" t="s">
        <v>2143</v>
      </c>
      <c r="C64" s="63" t="s">
        <v>2144</v>
      </c>
      <c r="D64" s="63" t="str">
        <f>"0,8665"</f>
        <v>0,8665</v>
      </c>
      <c r="E64" s="63" t="s">
        <v>17</v>
      </c>
      <c r="F64" s="63" t="s">
        <v>51</v>
      </c>
      <c r="G64" s="63" t="s">
        <v>44</v>
      </c>
      <c r="H64" s="64" t="s">
        <v>211</v>
      </c>
      <c r="I64" s="64" t="s">
        <v>180</v>
      </c>
      <c r="J64" s="64"/>
      <c r="K64" s="63">
        <v>215</v>
      </c>
      <c r="L64" s="63" t="str">
        <f>"186,3033"</f>
        <v>186,3033</v>
      </c>
      <c r="M64" s="63"/>
    </row>
    <row r="65" spans="1:13">
      <c r="A65" s="63" t="s">
        <v>1419</v>
      </c>
      <c r="B65" s="63" t="s">
        <v>1420</v>
      </c>
      <c r="C65" s="63" t="s">
        <v>2144</v>
      </c>
      <c r="D65" s="63" t="str">
        <f>"1,1239"</f>
        <v>1,1239</v>
      </c>
      <c r="E65" s="63" t="s">
        <v>1421</v>
      </c>
      <c r="F65" s="63" t="s">
        <v>1421</v>
      </c>
      <c r="G65" s="63" t="s">
        <v>19</v>
      </c>
      <c r="H65" s="63" t="s">
        <v>34</v>
      </c>
      <c r="I65" s="64" t="s">
        <v>42</v>
      </c>
      <c r="J65" s="64"/>
      <c r="K65" s="63">
        <v>155</v>
      </c>
      <c r="L65" s="63" t="str">
        <f>"174,2017"</f>
        <v>174,2017</v>
      </c>
      <c r="M65" s="63"/>
    </row>
    <row r="66" spans="1:13">
      <c r="A66" s="61" t="s">
        <v>2145</v>
      </c>
      <c r="B66" s="61" t="s">
        <v>2146</v>
      </c>
      <c r="C66" s="61" t="s">
        <v>2147</v>
      </c>
      <c r="D66" s="61" t="str">
        <f>"1,2124"</f>
        <v>1,2124</v>
      </c>
      <c r="E66" s="61" t="s">
        <v>17</v>
      </c>
      <c r="F66" s="61" t="s">
        <v>18</v>
      </c>
      <c r="G66" s="61" t="s">
        <v>33</v>
      </c>
      <c r="H66" s="62" t="s">
        <v>20</v>
      </c>
      <c r="I66" s="61" t="s">
        <v>20</v>
      </c>
      <c r="J66" s="62"/>
      <c r="K66" s="61">
        <v>160</v>
      </c>
      <c r="L66" s="61" t="str">
        <f>"193,9874"</f>
        <v>193,9874</v>
      </c>
      <c r="M66" s="61"/>
    </row>
    <row r="68" spans="1:13" ht="15">
      <c r="A68" s="58" t="s">
        <v>13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3">
      <c r="A69" s="59" t="s">
        <v>860</v>
      </c>
      <c r="B69" s="59" t="s">
        <v>861</v>
      </c>
      <c r="C69" s="59" t="s">
        <v>1156</v>
      </c>
      <c r="D69" s="59" t="str">
        <f>"0,6646"</f>
        <v>0,6646</v>
      </c>
      <c r="E69" s="59" t="s">
        <v>475</v>
      </c>
      <c r="F69" s="59" t="s">
        <v>476</v>
      </c>
      <c r="G69" s="59" t="s">
        <v>2148</v>
      </c>
      <c r="H69" s="60" t="s">
        <v>445</v>
      </c>
      <c r="I69" s="60" t="s">
        <v>445</v>
      </c>
      <c r="J69" s="60"/>
      <c r="K69" s="59">
        <v>265</v>
      </c>
      <c r="L69" s="59" t="str">
        <f>"176,1190"</f>
        <v>176,1190</v>
      </c>
      <c r="M69" s="59" t="s">
        <v>2149</v>
      </c>
    </row>
    <row r="70" spans="1:13">
      <c r="A70" s="63" t="s">
        <v>2150</v>
      </c>
      <c r="B70" s="63" t="s">
        <v>2151</v>
      </c>
      <c r="C70" s="63" t="s">
        <v>512</v>
      </c>
      <c r="D70" s="63" t="str">
        <f>"0,6497"</f>
        <v>0,6497</v>
      </c>
      <c r="E70" s="63" t="s">
        <v>17</v>
      </c>
      <c r="F70" s="63" t="s">
        <v>2152</v>
      </c>
      <c r="G70" s="63" t="s">
        <v>52</v>
      </c>
      <c r="H70" s="64" t="s">
        <v>66</v>
      </c>
      <c r="I70" s="64" t="s">
        <v>66</v>
      </c>
      <c r="J70" s="64"/>
      <c r="K70" s="63">
        <v>230</v>
      </c>
      <c r="L70" s="63" t="str">
        <f>"149,4425"</f>
        <v>149,4425</v>
      </c>
      <c r="M70" s="63"/>
    </row>
    <row r="71" spans="1:13">
      <c r="A71" s="63" t="s">
        <v>863</v>
      </c>
      <c r="B71" s="63" t="s">
        <v>864</v>
      </c>
      <c r="C71" s="63" t="s">
        <v>891</v>
      </c>
      <c r="D71" s="63" t="str">
        <f>"0,6461"</f>
        <v>0,6461</v>
      </c>
      <c r="E71" s="63" t="s">
        <v>269</v>
      </c>
      <c r="F71" s="63" t="s">
        <v>164</v>
      </c>
      <c r="G71" s="63" t="s">
        <v>186</v>
      </c>
      <c r="H71" s="63" t="s">
        <v>295</v>
      </c>
      <c r="I71" s="63" t="s">
        <v>52</v>
      </c>
      <c r="J71" s="64"/>
      <c r="K71" s="63">
        <v>230</v>
      </c>
      <c r="L71" s="63" t="str">
        <f>"148,6145"</f>
        <v>148,6145</v>
      </c>
      <c r="M71" s="63"/>
    </row>
    <row r="72" spans="1:13">
      <c r="A72" s="63" t="s">
        <v>868</v>
      </c>
      <c r="B72" s="63" t="s">
        <v>869</v>
      </c>
      <c r="C72" s="63" t="s">
        <v>886</v>
      </c>
      <c r="D72" s="63" t="str">
        <f>"0,6451"</f>
        <v>0,6451</v>
      </c>
      <c r="E72" s="63" t="s">
        <v>17</v>
      </c>
      <c r="F72" s="63" t="s">
        <v>826</v>
      </c>
      <c r="G72" s="63" t="s">
        <v>52</v>
      </c>
      <c r="H72" s="64" t="s">
        <v>36</v>
      </c>
      <c r="I72" s="64" t="s">
        <v>36</v>
      </c>
      <c r="J72" s="64"/>
      <c r="K72" s="63">
        <v>230</v>
      </c>
      <c r="L72" s="63" t="str">
        <f>"148,3730"</f>
        <v>148,3730</v>
      </c>
      <c r="M72" s="63" t="s">
        <v>827</v>
      </c>
    </row>
    <row r="73" spans="1:13">
      <c r="A73" s="63" t="s">
        <v>865</v>
      </c>
      <c r="B73" s="63" t="s">
        <v>866</v>
      </c>
      <c r="C73" s="63" t="s">
        <v>515</v>
      </c>
      <c r="D73" s="63" t="str">
        <f>"0,6545"</f>
        <v>0,6545</v>
      </c>
      <c r="E73" s="63" t="s">
        <v>17</v>
      </c>
      <c r="F73" s="63" t="s">
        <v>826</v>
      </c>
      <c r="G73" s="63" t="s">
        <v>44</v>
      </c>
      <c r="H73" s="64" t="s">
        <v>52</v>
      </c>
      <c r="I73" s="64" t="s">
        <v>52</v>
      </c>
      <c r="J73" s="64"/>
      <c r="K73" s="63">
        <v>215</v>
      </c>
      <c r="L73" s="63" t="str">
        <f>"140,7175"</f>
        <v>140,7175</v>
      </c>
      <c r="M73" s="63" t="s">
        <v>827</v>
      </c>
    </row>
    <row r="74" spans="1:13">
      <c r="A74" s="63" t="s">
        <v>2153</v>
      </c>
      <c r="B74" s="63" t="s">
        <v>2154</v>
      </c>
      <c r="C74" s="63" t="s">
        <v>373</v>
      </c>
      <c r="D74" s="63" t="str">
        <f>"0,6503"</f>
        <v>0,6503</v>
      </c>
      <c r="E74" s="63" t="s">
        <v>40</v>
      </c>
      <c r="F74" s="63" t="s">
        <v>2155</v>
      </c>
      <c r="G74" s="63" t="s">
        <v>207</v>
      </c>
      <c r="H74" s="63" t="s">
        <v>445</v>
      </c>
      <c r="I74" s="64" t="s">
        <v>2156</v>
      </c>
      <c r="J74" s="64"/>
      <c r="K74" s="63">
        <v>275</v>
      </c>
      <c r="L74" s="63" t="str">
        <f>"178,8188"</f>
        <v>178,8188</v>
      </c>
      <c r="M74" s="63" t="s">
        <v>2157</v>
      </c>
    </row>
    <row r="75" spans="1:13">
      <c r="A75" s="63" t="s">
        <v>871</v>
      </c>
      <c r="B75" s="63" t="s">
        <v>872</v>
      </c>
      <c r="C75" s="63" t="s">
        <v>16</v>
      </c>
      <c r="D75" s="63" t="str">
        <f>"0,6446"</f>
        <v>0,6446</v>
      </c>
      <c r="E75" s="63" t="s">
        <v>17</v>
      </c>
      <c r="F75" s="63" t="s">
        <v>874</v>
      </c>
      <c r="G75" s="63" t="s">
        <v>66</v>
      </c>
      <c r="H75" s="63" t="s">
        <v>876</v>
      </c>
      <c r="I75" s="64" t="s">
        <v>946</v>
      </c>
      <c r="J75" s="64"/>
      <c r="K75" s="63">
        <v>262.5</v>
      </c>
      <c r="L75" s="63" t="str">
        <f>"169,2075"</f>
        <v>169,2075</v>
      </c>
      <c r="M75" s="63"/>
    </row>
    <row r="76" spans="1:13">
      <c r="A76" s="63" t="s">
        <v>2158</v>
      </c>
      <c r="B76" s="63" t="s">
        <v>2159</v>
      </c>
      <c r="C76" s="63" t="s">
        <v>891</v>
      </c>
      <c r="D76" s="63" t="str">
        <f>"0,6461"</f>
        <v>0,6461</v>
      </c>
      <c r="E76" s="63" t="s">
        <v>17</v>
      </c>
      <c r="F76" s="63" t="s">
        <v>159</v>
      </c>
      <c r="G76" s="64" t="s">
        <v>186</v>
      </c>
      <c r="H76" s="63" t="s">
        <v>186</v>
      </c>
      <c r="I76" s="64" t="s">
        <v>44</v>
      </c>
      <c r="J76" s="64"/>
      <c r="K76" s="63">
        <v>205</v>
      </c>
      <c r="L76" s="63" t="str">
        <f>"132,4607"</f>
        <v>132,4607</v>
      </c>
      <c r="M76" s="63" t="s">
        <v>2160</v>
      </c>
    </row>
    <row r="77" spans="1:13">
      <c r="A77" s="63" t="s">
        <v>2161</v>
      </c>
      <c r="B77" s="63" t="s">
        <v>2162</v>
      </c>
      <c r="C77" s="63" t="s">
        <v>515</v>
      </c>
      <c r="D77" s="63" t="str">
        <f>"0,6545"</f>
        <v>0,6545</v>
      </c>
      <c r="E77" s="63" t="s">
        <v>17</v>
      </c>
      <c r="F77" s="63" t="s">
        <v>464</v>
      </c>
      <c r="G77" s="64" t="s">
        <v>30</v>
      </c>
      <c r="H77" s="64" t="s">
        <v>30</v>
      </c>
      <c r="I77" s="63" t="s">
        <v>30</v>
      </c>
      <c r="J77" s="64"/>
      <c r="K77" s="63">
        <v>200</v>
      </c>
      <c r="L77" s="63" t="str">
        <f>"130,9000"</f>
        <v>130,9000</v>
      </c>
      <c r="M77" s="63"/>
    </row>
    <row r="78" spans="1:13">
      <c r="A78" s="63" t="s">
        <v>2163</v>
      </c>
      <c r="B78" s="63" t="s">
        <v>2164</v>
      </c>
      <c r="C78" s="63" t="s">
        <v>16</v>
      </c>
      <c r="D78" s="63" t="str">
        <f>"0,6884"</f>
        <v>0,6884</v>
      </c>
      <c r="E78" s="63" t="s">
        <v>17</v>
      </c>
      <c r="F78" s="63" t="s">
        <v>2165</v>
      </c>
      <c r="G78" s="63" t="s">
        <v>20</v>
      </c>
      <c r="H78" s="63" t="s">
        <v>43</v>
      </c>
      <c r="I78" s="64" t="s">
        <v>67</v>
      </c>
      <c r="J78" s="64"/>
      <c r="K78" s="63">
        <v>170</v>
      </c>
      <c r="L78" s="63" t="str">
        <f>"117,0336"</f>
        <v>117,0336</v>
      </c>
      <c r="M78" s="63"/>
    </row>
    <row r="79" spans="1:13">
      <c r="A79" s="63" t="s">
        <v>2166</v>
      </c>
      <c r="B79" s="63" t="s">
        <v>2167</v>
      </c>
      <c r="C79" s="63" t="s">
        <v>2168</v>
      </c>
      <c r="D79" s="63" t="str">
        <f>"0,6743"</f>
        <v>0,6743</v>
      </c>
      <c r="E79" s="63" t="s">
        <v>17</v>
      </c>
      <c r="F79" s="63" t="s">
        <v>282</v>
      </c>
      <c r="G79" s="63" t="s">
        <v>170</v>
      </c>
      <c r="H79" s="63" t="s">
        <v>132</v>
      </c>
      <c r="I79" s="63" t="s">
        <v>135</v>
      </c>
      <c r="J79" s="64"/>
      <c r="K79" s="63">
        <v>100</v>
      </c>
      <c r="L79" s="63" t="str">
        <f>"67,4250"</f>
        <v>67,4250</v>
      </c>
      <c r="M79" s="63"/>
    </row>
    <row r="80" spans="1:13">
      <c r="A80" s="61" t="s">
        <v>896</v>
      </c>
      <c r="B80" s="61" t="s">
        <v>897</v>
      </c>
      <c r="C80" s="61" t="s">
        <v>2169</v>
      </c>
      <c r="D80" s="61" t="str">
        <f>"0,9831"</f>
        <v>0,9831</v>
      </c>
      <c r="E80" s="61" t="s">
        <v>17</v>
      </c>
      <c r="F80" s="61" t="s">
        <v>899</v>
      </c>
      <c r="G80" s="62" t="s">
        <v>21</v>
      </c>
      <c r="H80" s="61" t="s">
        <v>83</v>
      </c>
      <c r="I80" s="62" t="s">
        <v>30</v>
      </c>
      <c r="J80" s="62"/>
      <c r="K80" s="61">
        <v>190</v>
      </c>
      <c r="L80" s="61" t="str">
        <f>"186,7890"</f>
        <v>186,7890</v>
      </c>
      <c r="M80" s="61"/>
    </row>
    <row r="82" spans="1:13" ht="15">
      <c r="A82" s="58" t="s">
        <v>25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3">
      <c r="A83" s="59" t="s">
        <v>2170</v>
      </c>
      <c r="B83" s="59" t="s">
        <v>2171</v>
      </c>
      <c r="C83" s="59" t="s">
        <v>2172</v>
      </c>
      <c r="D83" s="59" t="str">
        <f>"0,6421"</f>
        <v>0,6421</v>
      </c>
      <c r="E83" s="59" t="s">
        <v>17</v>
      </c>
      <c r="F83" s="59" t="s">
        <v>500</v>
      </c>
      <c r="G83" s="59" t="s">
        <v>67</v>
      </c>
      <c r="H83" s="59" t="s">
        <v>30</v>
      </c>
      <c r="I83" s="60" t="s">
        <v>186</v>
      </c>
      <c r="J83" s="60"/>
      <c r="K83" s="59">
        <v>200</v>
      </c>
      <c r="L83" s="59" t="str">
        <f>"128,4200"</f>
        <v>128,4200</v>
      </c>
      <c r="M83" s="59"/>
    </row>
    <row r="84" spans="1:13">
      <c r="A84" s="63" t="s">
        <v>2173</v>
      </c>
      <c r="B84" s="63" t="s">
        <v>2174</v>
      </c>
      <c r="C84" s="63" t="s">
        <v>1551</v>
      </c>
      <c r="D84" s="63" t="str">
        <f>"0,6173"</f>
        <v>0,6173</v>
      </c>
      <c r="E84" s="63" t="s">
        <v>17</v>
      </c>
      <c r="F84" s="63" t="s">
        <v>506</v>
      </c>
      <c r="G84" s="63" t="s">
        <v>236</v>
      </c>
      <c r="H84" s="64" t="s">
        <v>751</v>
      </c>
      <c r="I84" s="64" t="s">
        <v>751</v>
      </c>
      <c r="J84" s="64"/>
      <c r="K84" s="63">
        <v>255</v>
      </c>
      <c r="L84" s="63" t="str">
        <f>"157,4115"</f>
        <v>157,4115</v>
      </c>
      <c r="M84" s="63" t="s">
        <v>1996</v>
      </c>
    </row>
    <row r="85" spans="1:13">
      <c r="A85" s="63" t="s">
        <v>2175</v>
      </c>
      <c r="B85" s="63" t="s">
        <v>2176</v>
      </c>
      <c r="C85" s="63" t="s">
        <v>2177</v>
      </c>
      <c r="D85" s="63" t="str">
        <f>"0,6378"</f>
        <v>0,6378</v>
      </c>
      <c r="E85" s="63" t="s">
        <v>17</v>
      </c>
      <c r="F85" s="63" t="s">
        <v>153</v>
      </c>
      <c r="G85" s="63" t="s">
        <v>186</v>
      </c>
      <c r="H85" s="64" t="s">
        <v>44</v>
      </c>
      <c r="I85" s="64" t="s">
        <v>848</v>
      </c>
      <c r="J85" s="64"/>
      <c r="K85" s="63">
        <v>205</v>
      </c>
      <c r="L85" s="63" t="str">
        <f>"130,7388"</f>
        <v>130,7388</v>
      </c>
      <c r="M85" s="63" t="s">
        <v>1387</v>
      </c>
    </row>
    <row r="86" spans="1:13">
      <c r="A86" s="63" t="s">
        <v>2178</v>
      </c>
      <c r="B86" s="63" t="s">
        <v>2179</v>
      </c>
      <c r="C86" s="63" t="s">
        <v>2180</v>
      </c>
      <c r="D86" s="63" t="str">
        <f>"0,6295"</f>
        <v>0,6295</v>
      </c>
      <c r="E86" s="63" t="s">
        <v>17</v>
      </c>
      <c r="F86" s="63" t="s">
        <v>147</v>
      </c>
      <c r="G86" s="63" t="s">
        <v>36</v>
      </c>
      <c r="H86" s="63" t="s">
        <v>1170</v>
      </c>
      <c r="I86" s="64" t="s">
        <v>751</v>
      </c>
      <c r="J86" s="64"/>
      <c r="K86" s="63">
        <v>257.5</v>
      </c>
      <c r="L86" s="63" t="str">
        <f>"162,0834"</f>
        <v>162,0834</v>
      </c>
      <c r="M86" s="63"/>
    </row>
    <row r="87" spans="1:13">
      <c r="A87" s="63" t="s">
        <v>2181</v>
      </c>
      <c r="B87" s="63" t="s">
        <v>2182</v>
      </c>
      <c r="C87" s="63" t="s">
        <v>386</v>
      </c>
      <c r="D87" s="63" t="str">
        <f>"0,6320"</f>
        <v>0,6320</v>
      </c>
      <c r="E87" s="63" t="s">
        <v>17</v>
      </c>
      <c r="F87" s="63" t="s">
        <v>72</v>
      </c>
      <c r="G87" s="63" t="s">
        <v>186</v>
      </c>
      <c r="H87" s="63" t="s">
        <v>848</v>
      </c>
      <c r="I87" s="64" t="s">
        <v>45</v>
      </c>
      <c r="J87" s="64"/>
      <c r="K87" s="63">
        <v>222.5</v>
      </c>
      <c r="L87" s="63" t="str">
        <f>"140,6207"</f>
        <v>140,6207</v>
      </c>
      <c r="M87" s="63"/>
    </row>
    <row r="88" spans="1:13">
      <c r="A88" s="63" t="s">
        <v>924</v>
      </c>
      <c r="B88" s="63" t="s">
        <v>925</v>
      </c>
      <c r="C88" s="63" t="s">
        <v>1548</v>
      </c>
      <c r="D88" s="63" t="str">
        <f>"0,6546"</f>
        <v>0,6546</v>
      </c>
      <c r="E88" s="63" t="s">
        <v>17</v>
      </c>
      <c r="F88" s="63" t="s">
        <v>927</v>
      </c>
      <c r="G88" s="63" t="s">
        <v>30</v>
      </c>
      <c r="H88" s="63" t="s">
        <v>31</v>
      </c>
      <c r="I88" s="64" t="s">
        <v>180</v>
      </c>
      <c r="J88" s="64"/>
      <c r="K88" s="63">
        <v>220</v>
      </c>
      <c r="L88" s="63" t="str">
        <f>"144,0181"</f>
        <v>144,0181</v>
      </c>
      <c r="M88" s="63"/>
    </row>
    <row r="89" spans="1:13">
      <c r="A89" s="63" t="s">
        <v>2183</v>
      </c>
      <c r="B89" s="63" t="s">
        <v>2184</v>
      </c>
      <c r="C89" s="63" t="s">
        <v>2185</v>
      </c>
      <c r="D89" s="63" t="str">
        <f>"0,7854"</f>
        <v>0,7854</v>
      </c>
      <c r="E89" s="63" t="s">
        <v>17</v>
      </c>
      <c r="F89" s="63" t="s">
        <v>601</v>
      </c>
      <c r="G89" s="63" t="s">
        <v>61</v>
      </c>
      <c r="H89" s="63" t="s">
        <v>31</v>
      </c>
      <c r="I89" s="64" t="s">
        <v>52</v>
      </c>
      <c r="J89" s="64"/>
      <c r="K89" s="63">
        <v>220</v>
      </c>
      <c r="L89" s="63" t="str">
        <f>"172,7915"</f>
        <v>172,7915</v>
      </c>
      <c r="M89" s="63"/>
    </row>
    <row r="90" spans="1:13">
      <c r="A90" s="63" t="s">
        <v>2186</v>
      </c>
      <c r="B90" s="63" t="s">
        <v>2187</v>
      </c>
      <c r="C90" s="63" t="s">
        <v>2188</v>
      </c>
      <c r="D90" s="63" t="str">
        <f>"0,7586"</f>
        <v>0,7586</v>
      </c>
      <c r="E90" s="63" t="s">
        <v>17</v>
      </c>
      <c r="F90" s="63" t="s">
        <v>1626</v>
      </c>
      <c r="G90" s="63" t="s">
        <v>21</v>
      </c>
      <c r="H90" s="63" t="s">
        <v>83</v>
      </c>
      <c r="I90" s="63" t="s">
        <v>188</v>
      </c>
      <c r="J90" s="64"/>
      <c r="K90" s="63">
        <v>195</v>
      </c>
      <c r="L90" s="63" t="str">
        <f>"147,9233"</f>
        <v>147,9233</v>
      </c>
      <c r="M90" s="63" t="s">
        <v>2189</v>
      </c>
    </row>
    <row r="91" spans="1:13">
      <c r="A91" s="63" t="s">
        <v>2190</v>
      </c>
      <c r="B91" s="63" t="s">
        <v>2191</v>
      </c>
      <c r="C91" s="63" t="s">
        <v>1554</v>
      </c>
      <c r="D91" s="63" t="str">
        <f>"0,7642"</f>
        <v>0,7642</v>
      </c>
      <c r="E91" s="63" t="s">
        <v>17</v>
      </c>
      <c r="F91" s="63" t="s">
        <v>1353</v>
      </c>
      <c r="G91" s="63" t="s">
        <v>42</v>
      </c>
      <c r="H91" s="63" t="s">
        <v>21</v>
      </c>
      <c r="I91" s="64" t="s">
        <v>83</v>
      </c>
      <c r="J91" s="64"/>
      <c r="K91" s="63">
        <v>180</v>
      </c>
      <c r="L91" s="63" t="str">
        <f>"137,5621"</f>
        <v>137,5621</v>
      </c>
      <c r="M91" s="63"/>
    </row>
    <row r="92" spans="1:13">
      <c r="A92" s="61" t="s">
        <v>2192</v>
      </c>
      <c r="B92" s="61" t="s">
        <v>2193</v>
      </c>
      <c r="C92" s="61" t="s">
        <v>908</v>
      </c>
      <c r="D92" s="61" t="str">
        <f>"0,8326"</f>
        <v>0,8326</v>
      </c>
      <c r="E92" s="61" t="s">
        <v>17</v>
      </c>
      <c r="F92" s="61" t="s">
        <v>1880</v>
      </c>
      <c r="G92" s="61" t="s">
        <v>33</v>
      </c>
      <c r="H92" s="61" t="s">
        <v>194</v>
      </c>
      <c r="I92" s="61" t="s">
        <v>43</v>
      </c>
      <c r="J92" s="62"/>
      <c r="K92" s="61">
        <v>170</v>
      </c>
      <c r="L92" s="61" t="str">
        <f>"141,5435"</f>
        <v>141,5435</v>
      </c>
      <c r="M92" s="61"/>
    </row>
    <row r="94" spans="1:13" ht="15">
      <c r="A94" s="58" t="s">
        <v>47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3">
      <c r="A95" s="59" t="s">
        <v>942</v>
      </c>
      <c r="B95" s="59" t="s">
        <v>943</v>
      </c>
      <c r="C95" s="59" t="s">
        <v>944</v>
      </c>
      <c r="D95" s="59" t="str">
        <f>"0,5993"</f>
        <v>0,5993</v>
      </c>
      <c r="E95" s="59" t="s">
        <v>17</v>
      </c>
      <c r="F95" s="59" t="s">
        <v>153</v>
      </c>
      <c r="G95" s="59" t="s">
        <v>207</v>
      </c>
      <c r="H95" s="60" t="s">
        <v>445</v>
      </c>
      <c r="I95" s="59" t="s">
        <v>445</v>
      </c>
      <c r="J95" s="60" t="s">
        <v>253</v>
      </c>
      <c r="K95" s="59">
        <v>275</v>
      </c>
      <c r="L95" s="59" t="str">
        <f>"164,8075"</f>
        <v>164,8075</v>
      </c>
      <c r="M95" s="59" t="s">
        <v>947</v>
      </c>
    </row>
    <row r="96" spans="1:13">
      <c r="A96" s="63" t="s">
        <v>948</v>
      </c>
      <c r="B96" s="63" t="s">
        <v>949</v>
      </c>
      <c r="C96" s="63" t="s">
        <v>550</v>
      </c>
      <c r="D96" s="63" t="str">
        <f>"0,5813"</f>
        <v>0,5813</v>
      </c>
      <c r="E96" s="63" t="s">
        <v>17</v>
      </c>
      <c r="F96" s="63" t="s">
        <v>951</v>
      </c>
      <c r="G96" s="63" t="s">
        <v>52</v>
      </c>
      <c r="H96" s="63" t="s">
        <v>36</v>
      </c>
      <c r="I96" s="64"/>
      <c r="J96" s="64"/>
      <c r="K96" s="63">
        <v>240</v>
      </c>
      <c r="L96" s="63" t="str">
        <f>"139,5120"</f>
        <v>139,5120</v>
      </c>
      <c r="M96" s="63"/>
    </row>
    <row r="97" spans="1:13">
      <c r="A97" s="63" t="s">
        <v>2194</v>
      </c>
      <c r="B97" s="63" t="s">
        <v>2195</v>
      </c>
      <c r="C97" s="63" t="s">
        <v>550</v>
      </c>
      <c r="D97" s="63" t="str">
        <f>"0,5813"</f>
        <v>0,5813</v>
      </c>
      <c r="E97" s="63" t="s">
        <v>767</v>
      </c>
      <c r="F97" s="63" t="s">
        <v>153</v>
      </c>
      <c r="G97" s="63" t="s">
        <v>445</v>
      </c>
      <c r="H97" s="63" t="s">
        <v>278</v>
      </c>
      <c r="I97" s="64" t="s">
        <v>406</v>
      </c>
      <c r="J97" s="64"/>
      <c r="K97" s="63">
        <v>290</v>
      </c>
      <c r="L97" s="63" t="str">
        <f>"168,5770"</f>
        <v>168,5770</v>
      </c>
      <c r="M97" s="63"/>
    </row>
    <row r="98" spans="1:13">
      <c r="A98" s="63" t="s">
        <v>957</v>
      </c>
      <c r="B98" s="63" t="s">
        <v>958</v>
      </c>
      <c r="C98" s="63" t="s">
        <v>2196</v>
      </c>
      <c r="D98" s="63" t="str">
        <f>"0,5908"</f>
        <v>0,5908</v>
      </c>
      <c r="E98" s="63" t="s">
        <v>269</v>
      </c>
      <c r="F98" s="63" t="s">
        <v>164</v>
      </c>
      <c r="G98" s="63" t="s">
        <v>66</v>
      </c>
      <c r="H98" s="63" t="s">
        <v>1170</v>
      </c>
      <c r="I98" s="63" t="s">
        <v>986</v>
      </c>
      <c r="J98" s="64"/>
      <c r="K98" s="63">
        <v>267.5</v>
      </c>
      <c r="L98" s="63" t="str">
        <f>"158,0390"</f>
        <v>158,0390</v>
      </c>
      <c r="M98" s="63"/>
    </row>
    <row r="99" spans="1:13">
      <c r="A99" s="63" t="s">
        <v>2197</v>
      </c>
      <c r="B99" s="63" t="s">
        <v>2198</v>
      </c>
      <c r="C99" s="63" t="s">
        <v>1595</v>
      </c>
      <c r="D99" s="63" t="str">
        <f>"0,5917"</f>
        <v>0,5917</v>
      </c>
      <c r="E99" s="63" t="s">
        <v>2199</v>
      </c>
      <c r="F99" s="63" t="s">
        <v>2200</v>
      </c>
      <c r="G99" s="63" t="s">
        <v>66</v>
      </c>
      <c r="H99" s="63" t="s">
        <v>207</v>
      </c>
      <c r="I99" s="64" t="s">
        <v>986</v>
      </c>
      <c r="J99" s="64"/>
      <c r="K99" s="63">
        <v>260</v>
      </c>
      <c r="L99" s="63" t="str">
        <f>"153,8290"</f>
        <v>153,8290</v>
      </c>
      <c r="M99" s="63"/>
    </row>
    <row r="100" spans="1:13">
      <c r="A100" s="63" t="s">
        <v>1586</v>
      </c>
      <c r="B100" s="63" t="s">
        <v>1587</v>
      </c>
      <c r="C100" s="63" t="s">
        <v>550</v>
      </c>
      <c r="D100" s="63" t="str">
        <f>"0,5813"</f>
        <v>0,5813</v>
      </c>
      <c r="E100" s="63" t="s">
        <v>17</v>
      </c>
      <c r="F100" s="63" t="s">
        <v>72</v>
      </c>
      <c r="G100" s="63" t="s">
        <v>186</v>
      </c>
      <c r="H100" s="63" t="s">
        <v>378</v>
      </c>
      <c r="I100" s="64" t="s">
        <v>295</v>
      </c>
      <c r="J100" s="64"/>
      <c r="K100" s="63">
        <v>212.5</v>
      </c>
      <c r="L100" s="63" t="str">
        <f>"123,5263"</f>
        <v>123,5263</v>
      </c>
      <c r="M100" s="63"/>
    </row>
    <row r="101" spans="1:13">
      <c r="A101" s="61" t="s">
        <v>2201</v>
      </c>
      <c r="B101" s="61" t="s">
        <v>2202</v>
      </c>
      <c r="C101" s="61" t="s">
        <v>2203</v>
      </c>
      <c r="D101" s="61" t="str">
        <f>"0,6388"</f>
        <v>0,6388</v>
      </c>
      <c r="E101" s="61" t="s">
        <v>17</v>
      </c>
      <c r="F101" s="61" t="s">
        <v>72</v>
      </c>
      <c r="G101" s="61" t="s">
        <v>52</v>
      </c>
      <c r="H101" s="62" t="s">
        <v>35</v>
      </c>
      <c r="I101" s="62" t="s">
        <v>35</v>
      </c>
      <c r="J101" s="62"/>
      <c r="K101" s="61">
        <v>230</v>
      </c>
      <c r="L101" s="61" t="str">
        <f>"146,9201"</f>
        <v>146,9201</v>
      </c>
      <c r="M101" s="61"/>
    </row>
    <row r="103" spans="1:13" ht="15">
      <c r="A103" s="58" t="s">
        <v>68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3">
      <c r="A104" s="59" t="s">
        <v>1627</v>
      </c>
      <c r="B104" s="59" t="s">
        <v>1628</v>
      </c>
      <c r="C104" s="59" t="s">
        <v>2043</v>
      </c>
      <c r="D104" s="59" t="str">
        <f>"0,5625"</f>
        <v>0,5625</v>
      </c>
      <c r="E104" s="59" t="s">
        <v>17</v>
      </c>
      <c r="F104" s="59" t="s">
        <v>1630</v>
      </c>
      <c r="G104" s="59" t="s">
        <v>445</v>
      </c>
      <c r="H104" s="60" t="s">
        <v>253</v>
      </c>
      <c r="I104" s="60" t="s">
        <v>253</v>
      </c>
      <c r="J104" s="60"/>
      <c r="K104" s="59">
        <v>275</v>
      </c>
      <c r="L104" s="59" t="str">
        <f>"154,6875"</f>
        <v>154,6875</v>
      </c>
      <c r="M104" s="59"/>
    </row>
    <row r="105" spans="1:13">
      <c r="A105" s="63" t="s">
        <v>2204</v>
      </c>
      <c r="B105" s="63" t="s">
        <v>2205</v>
      </c>
      <c r="C105" s="63" t="s">
        <v>575</v>
      </c>
      <c r="D105" s="63" t="str">
        <f>"0,5688"</f>
        <v>0,5688</v>
      </c>
      <c r="E105" s="63" t="s">
        <v>17</v>
      </c>
      <c r="F105" s="63" t="s">
        <v>923</v>
      </c>
      <c r="G105" s="63" t="s">
        <v>36</v>
      </c>
      <c r="H105" s="63" t="s">
        <v>207</v>
      </c>
      <c r="I105" s="64" t="s">
        <v>2206</v>
      </c>
      <c r="J105" s="64"/>
      <c r="K105" s="63">
        <v>260</v>
      </c>
      <c r="L105" s="63" t="str">
        <f>"147,9010"</f>
        <v>147,9010</v>
      </c>
      <c r="M105" s="63"/>
    </row>
    <row r="106" spans="1:13">
      <c r="A106" s="63" t="s">
        <v>2204</v>
      </c>
      <c r="B106" s="63" t="s">
        <v>2207</v>
      </c>
      <c r="C106" s="63" t="s">
        <v>575</v>
      </c>
      <c r="D106" s="63" t="str">
        <f>"0,6240"</f>
        <v>0,6240</v>
      </c>
      <c r="E106" s="63" t="s">
        <v>17</v>
      </c>
      <c r="F106" s="63" t="s">
        <v>923</v>
      </c>
      <c r="G106" s="63" t="s">
        <v>36</v>
      </c>
      <c r="H106" s="63" t="s">
        <v>207</v>
      </c>
      <c r="I106" s="64" t="s">
        <v>2206</v>
      </c>
      <c r="J106" s="64"/>
      <c r="K106" s="63">
        <v>260</v>
      </c>
      <c r="L106" s="63" t="str">
        <f>"162,2474"</f>
        <v>162,2474</v>
      </c>
      <c r="M106" s="63"/>
    </row>
    <row r="107" spans="1:13">
      <c r="A107" s="61" t="s">
        <v>2208</v>
      </c>
      <c r="B107" s="61" t="s">
        <v>2209</v>
      </c>
      <c r="C107" s="61" t="s">
        <v>712</v>
      </c>
      <c r="D107" s="61" t="str">
        <f>"0,7245"</f>
        <v>0,7245</v>
      </c>
      <c r="E107" s="61" t="s">
        <v>17</v>
      </c>
      <c r="F107" s="61" t="s">
        <v>2125</v>
      </c>
      <c r="G107" s="61" t="s">
        <v>30</v>
      </c>
      <c r="H107" s="61" t="s">
        <v>61</v>
      </c>
      <c r="I107" s="62" t="s">
        <v>31</v>
      </c>
      <c r="J107" s="62"/>
      <c r="K107" s="61">
        <v>210</v>
      </c>
      <c r="L107" s="61" t="str">
        <f>"152,1524"</f>
        <v>152,1524</v>
      </c>
      <c r="M107" s="61"/>
    </row>
    <row r="109" spans="1:13" ht="15">
      <c r="A109" s="58" t="s">
        <v>271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3">
      <c r="A110" s="59" t="s">
        <v>2210</v>
      </c>
      <c r="B110" s="59" t="s">
        <v>2211</v>
      </c>
      <c r="C110" s="59" t="s">
        <v>590</v>
      </c>
      <c r="D110" s="59" t="str">
        <f>"0,5611"</f>
        <v>0,5611</v>
      </c>
      <c r="E110" s="59" t="s">
        <v>17</v>
      </c>
      <c r="F110" s="59" t="s">
        <v>147</v>
      </c>
      <c r="G110" s="59" t="s">
        <v>52</v>
      </c>
      <c r="H110" s="59" t="s">
        <v>66</v>
      </c>
      <c r="I110" s="60" t="s">
        <v>207</v>
      </c>
      <c r="J110" s="60"/>
      <c r="K110" s="59">
        <v>250</v>
      </c>
      <c r="L110" s="59" t="str">
        <f>"140,2750"</f>
        <v>140,2750</v>
      </c>
      <c r="M110" s="59"/>
    </row>
    <row r="111" spans="1:13">
      <c r="A111" s="63" t="s">
        <v>1660</v>
      </c>
      <c r="B111" s="63" t="s">
        <v>2212</v>
      </c>
      <c r="C111" s="63" t="s">
        <v>2213</v>
      </c>
      <c r="D111" s="63" t="str">
        <f>"0,5473"</f>
        <v>0,5473</v>
      </c>
      <c r="E111" s="63" t="s">
        <v>17</v>
      </c>
      <c r="F111" s="63" t="s">
        <v>29</v>
      </c>
      <c r="G111" s="63" t="s">
        <v>35</v>
      </c>
      <c r="H111" s="63" t="s">
        <v>181</v>
      </c>
      <c r="I111" s="64" t="s">
        <v>195</v>
      </c>
      <c r="J111" s="64"/>
      <c r="K111" s="63">
        <v>242.5</v>
      </c>
      <c r="L111" s="63" t="str">
        <f>"132,7202"</f>
        <v>132,7202</v>
      </c>
      <c r="M111" s="63"/>
    </row>
    <row r="112" spans="1:13">
      <c r="A112" s="63" t="s">
        <v>275</v>
      </c>
      <c r="B112" s="63" t="s">
        <v>276</v>
      </c>
      <c r="C112" s="63" t="s">
        <v>2214</v>
      </c>
      <c r="D112" s="63" t="str">
        <f>"0,5505"</f>
        <v>0,5505</v>
      </c>
      <c r="E112" s="63" t="s">
        <v>17</v>
      </c>
      <c r="F112" s="63" t="s">
        <v>72</v>
      </c>
      <c r="G112" s="63" t="s">
        <v>55</v>
      </c>
      <c r="H112" s="63" t="s">
        <v>253</v>
      </c>
      <c r="I112" s="64" t="s">
        <v>291</v>
      </c>
      <c r="J112" s="64"/>
      <c r="K112" s="63">
        <v>285</v>
      </c>
      <c r="L112" s="63" t="str">
        <f>"156,9067"</f>
        <v>156,9067</v>
      </c>
      <c r="M112" s="63"/>
    </row>
    <row r="113" spans="1:13">
      <c r="A113" s="63" t="s">
        <v>279</v>
      </c>
      <c r="B113" s="63" t="s">
        <v>280</v>
      </c>
      <c r="C113" s="63" t="s">
        <v>2215</v>
      </c>
      <c r="D113" s="63" t="str">
        <f>"0,5499"</f>
        <v>0,5499</v>
      </c>
      <c r="E113" s="63" t="s">
        <v>17</v>
      </c>
      <c r="F113" s="63" t="s">
        <v>282</v>
      </c>
      <c r="G113" s="63" t="s">
        <v>61</v>
      </c>
      <c r="H113" s="63" t="s">
        <v>31</v>
      </c>
      <c r="I113" s="64"/>
      <c r="J113" s="64"/>
      <c r="K113" s="63">
        <v>220</v>
      </c>
      <c r="L113" s="63" t="str">
        <f>"120,9780"</f>
        <v>120,9780</v>
      </c>
      <c r="M113" s="63"/>
    </row>
    <row r="114" spans="1:13">
      <c r="A114" s="63" t="s">
        <v>279</v>
      </c>
      <c r="B114" s="63" t="s">
        <v>283</v>
      </c>
      <c r="C114" s="63" t="s">
        <v>2215</v>
      </c>
      <c r="D114" s="63" t="str">
        <f>"0,5499"</f>
        <v>0,5499</v>
      </c>
      <c r="E114" s="63" t="s">
        <v>17</v>
      </c>
      <c r="F114" s="63" t="s">
        <v>282</v>
      </c>
      <c r="G114" s="63" t="s">
        <v>61</v>
      </c>
      <c r="H114" s="63" t="s">
        <v>31</v>
      </c>
      <c r="I114" s="64"/>
      <c r="J114" s="64"/>
      <c r="K114" s="63">
        <v>220</v>
      </c>
      <c r="L114" s="63" t="str">
        <f>"120,9780"</f>
        <v>120,9780</v>
      </c>
      <c r="M114" s="63"/>
    </row>
    <row r="115" spans="1:13">
      <c r="A115" s="61" t="s">
        <v>2216</v>
      </c>
      <c r="B115" s="61" t="s">
        <v>2217</v>
      </c>
      <c r="C115" s="61" t="s">
        <v>2218</v>
      </c>
      <c r="D115" s="61" t="str">
        <f>"0,6932"</f>
        <v>0,6932</v>
      </c>
      <c r="E115" s="61" t="s">
        <v>17</v>
      </c>
      <c r="F115" s="61" t="s">
        <v>72</v>
      </c>
      <c r="G115" s="61" t="s">
        <v>53</v>
      </c>
      <c r="H115" s="61" t="s">
        <v>236</v>
      </c>
      <c r="I115" s="62" t="s">
        <v>207</v>
      </c>
      <c r="J115" s="62"/>
      <c r="K115" s="61">
        <v>255</v>
      </c>
      <c r="L115" s="61" t="str">
        <f>"176,7691"</f>
        <v>176,7691</v>
      </c>
      <c r="M115" s="61"/>
    </row>
    <row r="117" spans="1:13" ht="15">
      <c r="A117" s="58" t="s">
        <v>1704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3">
      <c r="A118" s="59" t="s">
        <v>2219</v>
      </c>
      <c r="B118" s="59" t="s">
        <v>2220</v>
      </c>
      <c r="C118" s="59" t="s">
        <v>2221</v>
      </c>
      <c r="D118" s="59" t="str">
        <f>"0,5217"</f>
        <v>0,5217</v>
      </c>
      <c r="E118" s="59" t="s">
        <v>17</v>
      </c>
      <c r="F118" s="59" t="s">
        <v>387</v>
      </c>
      <c r="G118" s="59" t="s">
        <v>445</v>
      </c>
      <c r="H118" s="59" t="s">
        <v>253</v>
      </c>
      <c r="I118" s="60" t="s">
        <v>291</v>
      </c>
      <c r="J118" s="60"/>
      <c r="K118" s="59">
        <v>285</v>
      </c>
      <c r="L118" s="59" t="str">
        <f>"148,6774"</f>
        <v>148,6774</v>
      </c>
      <c r="M118" s="59"/>
    </row>
    <row r="119" spans="1:13">
      <c r="A119" s="61" t="s">
        <v>2222</v>
      </c>
      <c r="B119" s="61" t="s">
        <v>2223</v>
      </c>
      <c r="C119" s="61" t="s">
        <v>2224</v>
      </c>
      <c r="D119" s="61" t="str">
        <f>"0,5460"</f>
        <v>0,5460</v>
      </c>
      <c r="E119" s="61" t="s">
        <v>17</v>
      </c>
      <c r="F119" s="61" t="s">
        <v>72</v>
      </c>
      <c r="G119" s="61" t="s">
        <v>207</v>
      </c>
      <c r="H119" s="62" t="s">
        <v>55</v>
      </c>
      <c r="I119" s="62" t="s">
        <v>55</v>
      </c>
      <c r="J119" s="62"/>
      <c r="K119" s="61">
        <v>260</v>
      </c>
      <c r="L119" s="61" t="str">
        <f>"141,9579"</f>
        <v>141,9579</v>
      </c>
      <c r="M119" s="61" t="s">
        <v>2225</v>
      </c>
    </row>
    <row r="121" spans="1:13" ht="15">
      <c r="E121" s="65" t="s">
        <v>84</v>
      </c>
    </row>
    <row r="122" spans="1:13" ht="15">
      <c r="E122" s="65" t="s">
        <v>85</v>
      </c>
    </row>
    <row r="123" spans="1:13" ht="15">
      <c r="E123" s="65" t="s">
        <v>86</v>
      </c>
    </row>
    <row r="124" spans="1:13">
      <c r="E124" s="55" t="s">
        <v>87</v>
      </c>
    </row>
    <row r="125" spans="1:13">
      <c r="E125" s="55" t="s">
        <v>88</v>
      </c>
    </row>
    <row r="126" spans="1:13">
      <c r="E126" s="55" t="s">
        <v>89</v>
      </c>
    </row>
    <row r="129" spans="1:5" ht="18">
      <c r="A129" s="66" t="s">
        <v>90</v>
      </c>
      <c r="B129" s="66"/>
    </row>
    <row r="130" spans="1:5" ht="15">
      <c r="A130" s="67" t="s">
        <v>284</v>
      </c>
      <c r="B130" s="67"/>
    </row>
    <row r="131" spans="1:5" ht="14.25">
      <c r="A131" s="69" t="s">
        <v>285</v>
      </c>
      <c r="B131" s="70"/>
    </row>
    <row r="132" spans="1:5" ht="15">
      <c r="A132" s="71" t="s">
        <v>0</v>
      </c>
      <c r="B132" s="71" t="s">
        <v>93</v>
      </c>
      <c r="C132" s="71" t="s">
        <v>94</v>
      </c>
      <c r="D132" s="71" t="s">
        <v>7</v>
      </c>
      <c r="E132" s="71" t="s">
        <v>95</v>
      </c>
    </row>
    <row r="133" spans="1:5">
      <c r="A133" s="68" t="s">
        <v>2080</v>
      </c>
      <c r="B133" s="55" t="s">
        <v>416</v>
      </c>
      <c r="C133" s="55" t="s">
        <v>287</v>
      </c>
      <c r="D133" s="55" t="s">
        <v>270</v>
      </c>
      <c r="E133" s="72" t="s">
        <v>2226</v>
      </c>
    </row>
    <row r="134" spans="1:5">
      <c r="A134" s="68" t="s">
        <v>128</v>
      </c>
      <c r="B134" s="55" t="s">
        <v>286</v>
      </c>
      <c r="C134" s="55" t="s">
        <v>287</v>
      </c>
      <c r="D134" s="55" t="s">
        <v>123</v>
      </c>
      <c r="E134" s="72" t="s">
        <v>2227</v>
      </c>
    </row>
    <row r="135" spans="1:5">
      <c r="A135" s="68" t="s">
        <v>2091</v>
      </c>
      <c r="B135" s="55" t="s">
        <v>302</v>
      </c>
      <c r="C135" s="55" t="s">
        <v>293</v>
      </c>
      <c r="D135" s="55" t="s">
        <v>465</v>
      </c>
      <c r="E135" s="72" t="s">
        <v>2228</v>
      </c>
    </row>
    <row r="137" spans="1:5" ht="14.25">
      <c r="A137" s="69" t="s">
        <v>92</v>
      </c>
      <c r="B137" s="70"/>
    </row>
    <row r="138" spans="1:5" ht="15">
      <c r="A138" s="71" t="s">
        <v>0</v>
      </c>
      <c r="B138" s="71" t="s">
        <v>93</v>
      </c>
      <c r="C138" s="71" t="s">
        <v>94</v>
      </c>
      <c r="D138" s="71" t="s">
        <v>7</v>
      </c>
      <c r="E138" s="71" t="s">
        <v>95</v>
      </c>
    </row>
    <row r="139" spans="1:5">
      <c r="A139" s="68" t="s">
        <v>2070</v>
      </c>
      <c r="B139" s="55" t="s">
        <v>96</v>
      </c>
      <c r="C139" s="55" t="s">
        <v>289</v>
      </c>
      <c r="D139" s="55" t="s">
        <v>149</v>
      </c>
      <c r="E139" s="72" t="s">
        <v>2229</v>
      </c>
    </row>
    <row r="141" spans="1:5" ht="14.25">
      <c r="A141" s="69" t="s">
        <v>100</v>
      </c>
      <c r="B141" s="70"/>
    </row>
    <row r="142" spans="1:5" ht="15">
      <c r="A142" s="71" t="s">
        <v>0</v>
      </c>
      <c r="B142" s="71" t="s">
        <v>93</v>
      </c>
      <c r="C142" s="71" t="s">
        <v>94</v>
      </c>
      <c r="D142" s="71" t="s">
        <v>7</v>
      </c>
      <c r="E142" s="71" t="s">
        <v>95</v>
      </c>
    </row>
    <row r="143" spans="1:5">
      <c r="A143" s="68" t="s">
        <v>769</v>
      </c>
      <c r="B143" s="55" t="s">
        <v>100</v>
      </c>
      <c r="C143" s="55" t="s">
        <v>287</v>
      </c>
      <c r="D143" s="55" t="s">
        <v>43</v>
      </c>
      <c r="E143" s="72" t="s">
        <v>2230</v>
      </c>
    </row>
    <row r="144" spans="1:5">
      <c r="A144" s="68" t="s">
        <v>2083</v>
      </c>
      <c r="B144" s="55" t="s">
        <v>100</v>
      </c>
      <c r="C144" s="55" t="s">
        <v>287</v>
      </c>
      <c r="D144" s="55" t="s">
        <v>33</v>
      </c>
      <c r="E144" s="72" t="s">
        <v>2231</v>
      </c>
    </row>
    <row r="145" spans="1:5">
      <c r="A145" s="68" t="s">
        <v>2061</v>
      </c>
      <c r="B145" s="55" t="s">
        <v>100</v>
      </c>
      <c r="C145" s="55" t="s">
        <v>411</v>
      </c>
      <c r="D145" s="55" t="s">
        <v>126</v>
      </c>
      <c r="E145" s="72" t="s">
        <v>2232</v>
      </c>
    </row>
    <row r="146" spans="1:5">
      <c r="A146" s="68" t="s">
        <v>2064</v>
      </c>
      <c r="B146" s="55" t="s">
        <v>100</v>
      </c>
      <c r="C146" s="55" t="s">
        <v>411</v>
      </c>
      <c r="D146" s="55" t="s">
        <v>149</v>
      </c>
      <c r="E146" s="72" t="s">
        <v>2233</v>
      </c>
    </row>
    <row r="147" spans="1:5">
      <c r="A147" s="68" t="s">
        <v>1259</v>
      </c>
      <c r="B147" s="55" t="s">
        <v>100</v>
      </c>
      <c r="C147" s="55" t="s">
        <v>1008</v>
      </c>
      <c r="D147" s="55" t="s">
        <v>136</v>
      </c>
      <c r="E147" s="72" t="s">
        <v>2234</v>
      </c>
    </row>
    <row r="148" spans="1:5">
      <c r="A148" s="68" t="s">
        <v>777</v>
      </c>
      <c r="B148" s="55" t="s">
        <v>100</v>
      </c>
      <c r="C148" s="55" t="s">
        <v>293</v>
      </c>
      <c r="D148" s="55" t="s">
        <v>355</v>
      </c>
      <c r="E148" s="72" t="s">
        <v>2235</v>
      </c>
    </row>
    <row r="149" spans="1:5">
      <c r="A149" s="68" t="s">
        <v>2073</v>
      </c>
      <c r="B149" s="55" t="s">
        <v>100</v>
      </c>
      <c r="C149" s="55" t="s">
        <v>289</v>
      </c>
      <c r="D149" s="55" t="s">
        <v>270</v>
      </c>
      <c r="E149" s="72" t="s">
        <v>2236</v>
      </c>
    </row>
    <row r="150" spans="1:5">
      <c r="A150" s="68" t="s">
        <v>2076</v>
      </c>
      <c r="B150" s="55" t="s">
        <v>100</v>
      </c>
      <c r="C150" s="55" t="s">
        <v>289</v>
      </c>
      <c r="D150" s="55" t="s">
        <v>160</v>
      </c>
      <c r="E150" s="72" t="s">
        <v>2237</v>
      </c>
    </row>
    <row r="151" spans="1:5">
      <c r="A151" s="68" t="s">
        <v>1263</v>
      </c>
      <c r="B151" s="55" t="s">
        <v>100</v>
      </c>
      <c r="C151" s="55" t="s">
        <v>626</v>
      </c>
      <c r="D151" s="55" t="s">
        <v>135</v>
      </c>
      <c r="E151" s="72" t="s">
        <v>2238</v>
      </c>
    </row>
    <row r="152" spans="1:5">
      <c r="A152" s="68" t="s">
        <v>2086</v>
      </c>
      <c r="B152" s="55" t="s">
        <v>100</v>
      </c>
      <c r="C152" s="55" t="s">
        <v>287</v>
      </c>
      <c r="D152" s="55" t="s">
        <v>160</v>
      </c>
      <c r="E152" s="72" t="s">
        <v>2239</v>
      </c>
    </row>
    <row r="153" spans="1:5">
      <c r="A153" s="68" t="s">
        <v>2067</v>
      </c>
      <c r="B153" s="55" t="s">
        <v>100</v>
      </c>
      <c r="C153" s="55" t="s">
        <v>411</v>
      </c>
      <c r="D153" s="55" t="s">
        <v>135</v>
      </c>
      <c r="E153" s="72" t="s">
        <v>2240</v>
      </c>
    </row>
    <row r="154" spans="1:5">
      <c r="A154" s="68" t="s">
        <v>144</v>
      </c>
      <c r="B154" s="55" t="s">
        <v>100</v>
      </c>
      <c r="C154" s="55" t="s">
        <v>293</v>
      </c>
      <c r="D154" s="55" t="s">
        <v>126</v>
      </c>
      <c r="E154" s="72" t="s">
        <v>2241</v>
      </c>
    </row>
    <row r="155" spans="1:5">
      <c r="A155" s="68" t="s">
        <v>2095</v>
      </c>
      <c r="B155" s="55" t="s">
        <v>100</v>
      </c>
      <c r="C155" s="55" t="s">
        <v>293</v>
      </c>
      <c r="D155" s="55" t="s">
        <v>126</v>
      </c>
      <c r="E155" s="72" t="s">
        <v>2242</v>
      </c>
    </row>
    <row r="156" spans="1:5">
      <c r="A156" s="68" t="s">
        <v>2088</v>
      </c>
      <c r="B156" s="55" t="s">
        <v>100</v>
      </c>
      <c r="C156" s="55" t="s">
        <v>287</v>
      </c>
      <c r="D156" s="55" t="s">
        <v>132</v>
      </c>
      <c r="E156" s="72" t="s">
        <v>2243</v>
      </c>
    </row>
    <row r="158" spans="1:5" ht="14.25">
      <c r="A158" s="69" t="s">
        <v>297</v>
      </c>
      <c r="B158" s="70"/>
    </row>
    <row r="159" spans="1:5" ht="15">
      <c r="A159" s="71" t="s">
        <v>0</v>
      </c>
      <c r="B159" s="71" t="s">
        <v>93</v>
      </c>
      <c r="C159" s="71" t="s">
        <v>94</v>
      </c>
      <c r="D159" s="71" t="s">
        <v>7</v>
      </c>
      <c r="E159" s="71" t="s">
        <v>95</v>
      </c>
    </row>
    <row r="160" spans="1:5">
      <c r="A160" s="68" t="s">
        <v>1300</v>
      </c>
      <c r="B160" s="55" t="s">
        <v>661</v>
      </c>
      <c r="C160" s="55" t="s">
        <v>289</v>
      </c>
      <c r="D160" s="55" t="s">
        <v>149</v>
      </c>
      <c r="E160" s="72" t="s">
        <v>2244</v>
      </c>
    </row>
    <row r="161" spans="1:5">
      <c r="A161" s="68" t="s">
        <v>1263</v>
      </c>
      <c r="B161" s="55" t="s">
        <v>435</v>
      </c>
      <c r="C161" s="55" t="s">
        <v>626</v>
      </c>
      <c r="D161" s="55" t="s">
        <v>135</v>
      </c>
      <c r="E161" s="72" t="s">
        <v>2245</v>
      </c>
    </row>
    <row r="162" spans="1:5">
      <c r="A162" s="68" t="s">
        <v>2097</v>
      </c>
      <c r="B162" s="55" t="s">
        <v>298</v>
      </c>
      <c r="C162" s="55" t="s">
        <v>293</v>
      </c>
      <c r="D162" s="55" t="s">
        <v>24</v>
      </c>
      <c r="E162" s="72" t="s">
        <v>2246</v>
      </c>
    </row>
    <row r="165" spans="1:5" ht="15">
      <c r="A165" s="67" t="s">
        <v>91</v>
      </c>
      <c r="B165" s="67"/>
    </row>
    <row r="166" spans="1:5" ht="14.25">
      <c r="A166" s="69" t="s">
        <v>285</v>
      </c>
      <c r="B166" s="70"/>
    </row>
    <row r="167" spans="1:5" ht="15">
      <c r="A167" s="71" t="s">
        <v>0</v>
      </c>
      <c r="B167" s="71" t="s">
        <v>93</v>
      </c>
      <c r="C167" s="71" t="s">
        <v>94</v>
      </c>
      <c r="D167" s="71" t="s">
        <v>7</v>
      </c>
      <c r="E167" s="71" t="s">
        <v>95</v>
      </c>
    </row>
    <row r="168" spans="1:5">
      <c r="A168" s="68" t="s">
        <v>2102</v>
      </c>
      <c r="B168" s="55" t="s">
        <v>286</v>
      </c>
      <c r="C168" s="55" t="s">
        <v>287</v>
      </c>
      <c r="D168" s="55" t="s">
        <v>30</v>
      </c>
      <c r="E168" s="72" t="s">
        <v>2247</v>
      </c>
    </row>
    <row r="169" spans="1:5">
      <c r="A169" s="68" t="s">
        <v>942</v>
      </c>
      <c r="B169" s="55" t="s">
        <v>286</v>
      </c>
      <c r="C169" s="55" t="s">
        <v>104</v>
      </c>
      <c r="D169" s="55" t="s">
        <v>445</v>
      </c>
      <c r="E169" s="72" t="s">
        <v>2248</v>
      </c>
    </row>
    <row r="170" spans="1:5">
      <c r="A170" s="68" t="s">
        <v>823</v>
      </c>
      <c r="B170" s="55" t="s">
        <v>286</v>
      </c>
      <c r="C170" s="55" t="s">
        <v>310</v>
      </c>
      <c r="D170" s="55" t="s">
        <v>180</v>
      </c>
      <c r="E170" s="72" t="s">
        <v>2249</v>
      </c>
    </row>
    <row r="171" spans="1:5">
      <c r="A171" s="68" t="s">
        <v>2133</v>
      </c>
      <c r="B171" s="55" t="s">
        <v>286</v>
      </c>
      <c r="C171" s="55" t="s">
        <v>310</v>
      </c>
      <c r="D171" s="55" t="s">
        <v>31</v>
      </c>
      <c r="E171" s="72" t="s">
        <v>2250</v>
      </c>
    </row>
    <row r="172" spans="1:5">
      <c r="A172" s="68" t="s">
        <v>2107</v>
      </c>
      <c r="B172" s="55" t="s">
        <v>286</v>
      </c>
      <c r="C172" s="55" t="s">
        <v>287</v>
      </c>
      <c r="D172" s="55" t="s">
        <v>21</v>
      </c>
      <c r="E172" s="72" t="s">
        <v>2251</v>
      </c>
    </row>
    <row r="173" spans="1:5">
      <c r="A173" s="68" t="s">
        <v>828</v>
      </c>
      <c r="B173" s="55" t="s">
        <v>286</v>
      </c>
      <c r="C173" s="55" t="s">
        <v>310</v>
      </c>
      <c r="D173" s="55" t="s">
        <v>61</v>
      </c>
      <c r="E173" s="72" t="s">
        <v>2252</v>
      </c>
    </row>
    <row r="174" spans="1:5">
      <c r="A174" s="68" t="s">
        <v>833</v>
      </c>
      <c r="B174" s="55" t="s">
        <v>286</v>
      </c>
      <c r="C174" s="55" t="s">
        <v>310</v>
      </c>
      <c r="D174" s="55" t="s">
        <v>565</v>
      </c>
      <c r="E174" s="72" t="s">
        <v>2253</v>
      </c>
    </row>
    <row r="175" spans="1:5">
      <c r="A175" s="68" t="s">
        <v>2170</v>
      </c>
      <c r="B175" s="55" t="s">
        <v>286</v>
      </c>
      <c r="C175" s="55" t="s">
        <v>111</v>
      </c>
      <c r="D175" s="55" t="s">
        <v>30</v>
      </c>
      <c r="E175" s="72" t="s">
        <v>2254</v>
      </c>
    </row>
    <row r="176" spans="1:5">
      <c r="A176" s="68" t="s">
        <v>2130</v>
      </c>
      <c r="B176" s="55" t="s">
        <v>302</v>
      </c>
      <c r="C176" s="55" t="s">
        <v>310</v>
      </c>
      <c r="D176" s="55" t="s">
        <v>43</v>
      </c>
      <c r="E176" s="72" t="s">
        <v>2255</v>
      </c>
    </row>
    <row r="178" spans="1:5" ht="14.25">
      <c r="A178" s="69" t="s">
        <v>92</v>
      </c>
      <c r="B178" s="70"/>
    </row>
    <row r="179" spans="1:5" ht="15">
      <c r="A179" s="71" t="s">
        <v>0</v>
      </c>
      <c r="B179" s="71" t="s">
        <v>93</v>
      </c>
      <c r="C179" s="71" t="s">
        <v>94</v>
      </c>
      <c r="D179" s="71" t="s">
        <v>7</v>
      </c>
      <c r="E179" s="71" t="s">
        <v>95</v>
      </c>
    </row>
    <row r="180" spans="1:5">
      <c r="A180" s="68" t="s">
        <v>2137</v>
      </c>
      <c r="B180" s="55" t="s">
        <v>96</v>
      </c>
      <c r="C180" s="55" t="s">
        <v>310</v>
      </c>
      <c r="D180" s="55" t="s">
        <v>36</v>
      </c>
      <c r="E180" s="72" t="s">
        <v>2256</v>
      </c>
    </row>
    <row r="181" spans="1:5">
      <c r="A181" s="68" t="s">
        <v>860</v>
      </c>
      <c r="B181" s="55" t="s">
        <v>96</v>
      </c>
      <c r="C181" s="55" t="s">
        <v>97</v>
      </c>
      <c r="D181" s="55" t="s">
        <v>751</v>
      </c>
      <c r="E181" s="72" t="s">
        <v>2257</v>
      </c>
    </row>
    <row r="182" spans="1:5">
      <c r="A182" s="68" t="s">
        <v>2115</v>
      </c>
      <c r="B182" s="55" t="s">
        <v>96</v>
      </c>
      <c r="C182" s="55" t="s">
        <v>293</v>
      </c>
      <c r="D182" s="55" t="s">
        <v>52</v>
      </c>
      <c r="E182" s="72" t="s">
        <v>2258</v>
      </c>
    </row>
    <row r="183" spans="1:5">
      <c r="A183" s="68" t="s">
        <v>2173</v>
      </c>
      <c r="B183" s="55" t="s">
        <v>96</v>
      </c>
      <c r="C183" s="55" t="s">
        <v>111</v>
      </c>
      <c r="D183" s="55" t="s">
        <v>236</v>
      </c>
      <c r="E183" s="72" t="s">
        <v>2259</v>
      </c>
    </row>
    <row r="184" spans="1:5">
      <c r="A184" s="68" t="s">
        <v>845</v>
      </c>
      <c r="B184" s="55" t="s">
        <v>96</v>
      </c>
      <c r="C184" s="55" t="s">
        <v>310</v>
      </c>
      <c r="D184" s="55" t="s">
        <v>44</v>
      </c>
      <c r="E184" s="72" t="s">
        <v>2260</v>
      </c>
    </row>
    <row r="185" spans="1:5">
      <c r="A185" s="68" t="s">
        <v>2150</v>
      </c>
      <c r="B185" s="55" t="s">
        <v>96</v>
      </c>
      <c r="C185" s="55" t="s">
        <v>97</v>
      </c>
      <c r="D185" s="55" t="s">
        <v>52</v>
      </c>
      <c r="E185" s="72" t="s">
        <v>2261</v>
      </c>
    </row>
    <row r="186" spans="1:5">
      <c r="A186" s="68" t="s">
        <v>863</v>
      </c>
      <c r="B186" s="55" t="s">
        <v>96</v>
      </c>
      <c r="C186" s="55" t="s">
        <v>97</v>
      </c>
      <c r="D186" s="55" t="s">
        <v>52</v>
      </c>
      <c r="E186" s="72" t="s">
        <v>2262</v>
      </c>
    </row>
    <row r="187" spans="1:5">
      <c r="A187" s="68" t="s">
        <v>868</v>
      </c>
      <c r="B187" s="55" t="s">
        <v>96</v>
      </c>
      <c r="C187" s="55" t="s">
        <v>97</v>
      </c>
      <c r="D187" s="55" t="s">
        <v>52</v>
      </c>
      <c r="E187" s="72" t="s">
        <v>2263</v>
      </c>
    </row>
    <row r="188" spans="1:5">
      <c r="A188" s="68" t="s">
        <v>865</v>
      </c>
      <c r="B188" s="55" t="s">
        <v>96</v>
      </c>
      <c r="C188" s="55" t="s">
        <v>97</v>
      </c>
      <c r="D188" s="55" t="s">
        <v>44</v>
      </c>
      <c r="E188" s="72" t="s">
        <v>2264</v>
      </c>
    </row>
    <row r="189" spans="1:5">
      <c r="A189" s="68" t="s">
        <v>2210</v>
      </c>
      <c r="B189" s="55" t="s">
        <v>96</v>
      </c>
      <c r="C189" s="55" t="s">
        <v>304</v>
      </c>
      <c r="D189" s="55" t="s">
        <v>66</v>
      </c>
      <c r="E189" s="72" t="s">
        <v>2265</v>
      </c>
    </row>
    <row r="190" spans="1:5">
      <c r="A190" s="68" t="s">
        <v>948</v>
      </c>
      <c r="B190" s="55" t="s">
        <v>96</v>
      </c>
      <c r="C190" s="55" t="s">
        <v>104</v>
      </c>
      <c r="D190" s="55" t="s">
        <v>36</v>
      </c>
      <c r="E190" s="72" t="s">
        <v>2266</v>
      </c>
    </row>
    <row r="191" spans="1:5">
      <c r="A191" s="68" t="s">
        <v>1660</v>
      </c>
      <c r="B191" s="55" t="s">
        <v>96</v>
      </c>
      <c r="C191" s="55" t="s">
        <v>304</v>
      </c>
      <c r="D191" s="55" t="s">
        <v>181</v>
      </c>
      <c r="E191" s="72" t="s">
        <v>2267</v>
      </c>
    </row>
    <row r="192" spans="1:5">
      <c r="A192" s="68" t="s">
        <v>2175</v>
      </c>
      <c r="B192" s="55" t="s">
        <v>96</v>
      </c>
      <c r="C192" s="55" t="s">
        <v>111</v>
      </c>
      <c r="D192" s="55" t="s">
        <v>186</v>
      </c>
      <c r="E192" s="72" t="s">
        <v>2268</v>
      </c>
    </row>
    <row r="194" spans="1:5" ht="14.25">
      <c r="A194" s="69" t="s">
        <v>100</v>
      </c>
      <c r="B194" s="70"/>
    </row>
    <row r="195" spans="1:5" ht="15">
      <c r="A195" s="71" t="s">
        <v>0</v>
      </c>
      <c r="B195" s="71" t="s">
        <v>93</v>
      </c>
      <c r="C195" s="71" t="s">
        <v>94</v>
      </c>
      <c r="D195" s="71" t="s">
        <v>7</v>
      </c>
      <c r="E195" s="71" t="s">
        <v>95</v>
      </c>
    </row>
    <row r="196" spans="1:5">
      <c r="A196" s="68" t="s">
        <v>2153</v>
      </c>
      <c r="B196" s="55" t="s">
        <v>100</v>
      </c>
      <c r="C196" s="55" t="s">
        <v>97</v>
      </c>
      <c r="D196" s="55" t="s">
        <v>445</v>
      </c>
      <c r="E196" s="72" t="s">
        <v>2269</v>
      </c>
    </row>
    <row r="197" spans="1:5">
      <c r="A197" s="68" t="s">
        <v>2118</v>
      </c>
      <c r="B197" s="55" t="s">
        <v>100</v>
      </c>
      <c r="C197" s="55" t="s">
        <v>293</v>
      </c>
      <c r="D197" s="55" t="s">
        <v>180</v>
      </c>
      <c r="E197" s="72" t="s">
        <v>2270</v>
      </c>
    </row>
    <row r="198" spans="1:5">
      <c r="A198" s="68" t="s">
        <v>871</v>
      </c>
      <c r="B198" s="55" t="s">
        <v>100</v>
      </c>
      <c r="C198" s="55" t="s">
        <v>97</v>
      </c>
      <c r="D198" s="55" t="s">
        <v>876</v>
      </c>
      <c r="E198" s="72" t="s">
        <v>2271</v>
      </c>
    </row>
    <row r="199" spans="1:5">
      <c r="A199" s="68" t="s">
        <v>2194</v>
      </c>
      <c r="B199" s="55" t="s">
        <v>100</v>
      </c>
      <c r="C199" s="55" t="s">
        <v>104</v>
      </c>
      <c r="D199" s="55" t="s">
        <v>278</v>
      </c>
      <c r="E199" s="72" t="s">
        <v>2272</v>
      </c>
    </row>
    <row r="200" spans="1:5">
      <c r="A200" s="68" t="s">
        <v>2120</v>
      </c>
      <c r="B200" s="55" t="s">
        <v>100</v>
      </c>
      <c r="C200" s="55" t="s">
        <v>293</v>
      </c>
      <c r="D200" s="55" t="s">
        <v>31</v>
      </c>
      <c r="E200" s="72" t="s">
        <v>2273</v>
      </c>
    </row>
    <row r="201" spans="1:5">
      <c r="A201" s="68" t="s">
        <v>1143</v>
      </c>
      <c r="B201" s="55" t="s">
        <v>100</v>
      </c>
      <c r="C201" s="55" t="s">
        <v>310</v>
      </c>
      <c r="D201" s="55" t="s">
        <v>35</v>
      </c>
      <c r="E201" s="72" t="s">
        <v>2274</v>
      </c>
    </row>
    <row r="202" spans="1:5">
      <c r="A202" s="68" t="s">
        <v>2178</v>
      </c>
      <c r="B202" s="55" t="s">
        <v>100</v>
      </c>
      <c r="C202" s="55" t="s">
        <v>111</v>
      </c>
      <c r="D202" s="55" t="s">
        <v>1170</v>
      </c>
      <c r="E202" s="72" t="s">
        <v>2275</v>
      </c>
    </row>
    <row r="203" spans="1:5">
      <c r="A203" s="68" t="s">
        <v>957</v>
      </c>
      <c r="B203" s="55" t="s">
        <v>100</v>
      </c>
      <c r="C203" s="55" t="s">
        <v>104</v>
      </c>
      <c r="D203" s="55" t="s">
        <v>986</v>
      </c>
      <c r="E203" s="72" t="s">
        <v>2276</v>
      </c>
    </row>
    <row r="204" spans="1:5">
      <c r="A204" s="68" t="s">
        <v>275</v>
      </c>
      <c r="B204" s="55" t="s">
        <v>100</v>
      </c>
      <c r="C204" s="55" t="s">
        <v>304</v>
      </c>
      <c r="D204" s="55" t="s">
        <v>253</v>
      </c>
      <c r="E204" s="72" t="s">
        <v>2277</v>
      </c>
    </row>
    <row r="205" spans="1:5">
      <c r="A205" s="68" t="s">
        <v>2140</v>
      </c>
      <c r="B205" s="55" t="s">
        <v>100</v>
      </c>
      <c r="C205" s="55" t="s">
        <v>310</v>
      </c>
      <c r="D205" s="55" t="s">
        <v>31</v>
      </c>
      <c r="E205" s="72" t="s">
        <v>2278</v>
      </c>
    </row>
    <row r="206" spans="1:5">
      <c r="A206" s="68" t="s">
        <v>1627</v>
      </c>
      <c r="B206" s="55" t="s">
        <v>100</v>
      </c>
      <c r="C206" s="55" t="s">
        <v>101</v>
      </c>
      <c r="D206" s="55" t="s">
        <v>445</v>
      </c>
      <c r="E206" s="72" t="s">
        <v>2279</v>
      </c>
    </row>
    <row r="207" spans="1:5">
      <c r="A207" s="68" t="s">
        <v>2197</v>
      </c>
      <c r="B207" s="55" t="s">
        <v>100</v>
      </c>
      <c r="C207" s="55" t="s">
        <v>104</v>
      </c>
      <c r="D207" s="55" t="s">
        <v>207</v>
      </c>
      <c r="E207" s="72" t="s">
        <v>2280</v>
      </c>
    </row>
    <row r="208" spans="1:5">
      <c r="A208" s="68" t="s">
        <v>2219</v>
      </c>
      <c r="B208" s="55" t="s">
        <v>100</v>
      </c>
      <c r="C208" s="55" t="s">
        <v>1781</v>
      </c>
      <c r="D208" s="55" t="s">
        <v>253</v>
      </c>
      <c r="E208" s="72" t="s">
        <v>2281</v>
      </c>
    </row>
    <row r="209" spans="1:5">
      <c r="A209" s="68" t="s">
        <v>2204</v>
      </c>
      <c r="B209" s="55" t="s">
        <v>100</v>
      </c>
      <c r="C209" s="55" t="s">
        <v>101</v>
      </c>
      <c r="D209" s="55" t="s">
        <v>207</v>
      </c>
      <c r="E209" s="72" t="s">
        <v>2282</v>
      </c>
    </row>
    <row r="210" spans="1:5">
      <c r="A210" s="68" t="s">
        <v>2111</v>
      </c>
      <c r="B210" s="55" t="s">
        <v>100</v>
      </c>
      <c r="C210" s="55" t="s">
        <v>287</v>
      </c>
      <c r="D210" s="55" t="s">
        <v>42</v>
      </c>
      <c r="E210" s="72" t="s">
        <v>2283</v>
      </c>
    </row>
    <row r="211" spans="1:5">
      <c r="A211" s="68" t="s">
        <v>2158</v>
      </c>
      <c r="B211" s="55" t="s">
        <v>100</v>
      </c>
      <c r="C211" s="55" t="s">
        <v>97</v>
      </c>
      <c r="D211" s="55" t="s">
        <v>186</v>
      </c>
      <c r="E211" s="72" t="s">
        <v>2284</v>
      </c>
    </row>
    <row r="212" spans="1:5">
      <c r="A212" s="68" t="s">
        <v>2161</v>
      </c>
      <c r="B212" s="55" t="s">
        <v>100</v>
      </c>
      <c r="C212" s="55" t="s">
        <v>97</v>
      </c>
      <c r="D212" s="55" t="s">
        <v>30</v>
      </c>
      <c r="E212" s="72" t="s">
        <v>2285</v>
      </c>
    </row>
    <row r="213" spans="1:5">
      <c r="A213" s="68" t="s">
        <v>1586</v>
      </c>
      <c r="B213" s="55" t="s">
        <v>100</v>
      </c>
      <c r="C213" s="55" t="s">
        <v>104</v>
      </c>
      <c r="D213" s="55" t="s">
        <v>378</v>
      </c>
      <c r="E213" s="72" t="s">
        <v>2286</v>
      </c>
    </row>
    <row r="214" spans="1:5">
      <c r="A214" s="68" t="s">
        <v>279</v>
      </c>
      <c r="B214" s="55" t="s">
        <v>100</v>
      </c>
      <c r="C214" s="55" t="s">
        <v>304</v>
      </c>
      <c r="D214" s="55" t="s">
        <v>31</v>
      </c>
      <c r="E214" s="72" t="s">
        <v>2287</v>
      </c>
    </row>
    <row r="216" spans="1:5" ht="14.25">
      <c r="A216" s="69" t="s">
        <v>297</v>
      </c>
      <c r="B216" s="70"/>
    </row>
    <row r="217" spans="1:5" ht="15">
      <c r="A217" s="71" t="s">
        <v>0</v>
      </c>
      <c r="B217" s="71" t="s">
        <v>93</v>
      </c>
      <c r="C217" s="71" t="s">
        <v>94</v>
      </c>
      <c r="D217" s="71" t="s">
        <v>7</v>
      </c>
      <c r="E217" s="71" t="s">
        <v>95</v>
      </c>
    </row>
    <row r="218" spans="1:5">
      <c r="A218" s="68" t="s">
        <v>2126</v>
      </c>
      <c r="B218" s="55" t="s">
        <v>2288</v>
      </c>
      <c r="C218" s="55" t="s">
        <v>293</v>
      </c>
      <c r="D218" s="55" t="s">
        <v>20</v>
      </c>
      <c r="E218" s="72" t="s">
        <v>2289</v>
      </c>
    </row>
    <row r="219" spans="1:5">
      <c r="A219" s="68" t="s">
        <v>2123</v>
      </c>
      <c r="B219" s="55" t="s">
        <v>432</v>
      </c>
      <c r="C219" s="55" t="s">
        <v>293</v>
      </c>
      <c r="D219" s="55" t="s">
        <v>20</v>
      </c>
      <c r="E219" s="72" t="s">
        <v>2290</v>
      </c>
    </row>
    <row r="220" spans="1:5">
      <c r="A220" s="68" t="s">
        <v>2145</v>
      </c>
      <c r="B220" s="55" t="s">
        <v>340</v>
      </c>
      <c r="C220" s="55" t="s">
        <v>310</v>
      </c>
      <c r="D220" s="55" t="s">
        <v>20</v>
      </c>
      <c r="E220" s="72" t="s">
        <v>2291</v>
      </c>
    </row>
    <row r="221" spans="1:5">
      <c r="A221" s="68" t="s">
        <v>896</v>
      </c>
      <c r="B221" s="55" t="s">
        <v>661</v>
      </c>
      <c r="C221" s="55" t="s">
        <v>97</v>
      </c>
      <c r="D221" s="55" t="s">
        <v>83</v>
      </c>
      <c r="E221" s="72" t="s">
        <v>2292</v>
      </c>
    </row>
    <row r="222" spans="1:5">
      <c r="A222" s="68" t="s">
        <v>2142</v>
      </c>
      <c r="B222" s="55" t="s">
        <v>435</v>
      </c>
      <c r="C222" s="55" t="s">
        <v>310</v>
      </c>
      <c r="D222" s="55" t="s">
        <v>44</v>
      </c>
      <c r="E222" s="72" t="s">
        <v>2293</v>
      </c>
    </row>
    <row r="223" spans="1:5">
      <c r="A223" s="68" t="s">
        <v>2216</v>
      </c>
      <c r="B223" s="55" t="s">
        <v>659</v>
      </c>
      <c r="C223" s="55" t="s">
        <v>304</v>
      </c>
      <c r="D223" s="55" t="s">
        <v>236</v>
      </c>
      <c r="E223" s="72" t="s">
        <v>2294</v>
      </c>
    </row>
    <row r="224" spans="1:5">
      <c r="A224" s="68" t="s">
        <v>1419</v>
      </c>
      <c r="B224" s="55" t="s">
        <v>665</v>
      </c>
      <c r="C224" s="55" t="s">
        <v>310</v>
      </c>
      <c r="D224" s="55" t="s">
        <v>34</v>
      </c>
      <c r="E224" s="72" t="s">
        <v>2295</v>
      </c>
    </row>
    <row r="225" spans="1:5">
      <c r="A225" s="68" t="s">
        <v>2183</v>
      </c>
      <c r="B225" s="55" t="s">
        <v>659</v>
      </c>
      <c r="C225" s="55" t="s">
        <v>111</v>
      </c>
      <c r="D225" s="55" t="s">
        <v>31</v>
      </c>
      <c r="E225" s="72" t="s">
        <v>2296</v>
      </c>
    </row>
    <row r="226" spans="1:5">
      <c r="A226" s="68" t="s">
        <v>2204</v>
      </c>
      <c r="B226" s="55" t="s">
        <v>298</v>
      </c>
      <c r="C226" s="55" t="s">
        <v>101</v>
      </c>
      <c r="D226" s="55" t="s">
        <v>207</v>
      </c>
      <c r="E226" s="72" t="s">
        <v>2297</v>
      </c>
    </row>
    <row r="227" spans="1:5">
      <c r="A227" s="68" t="s">
        <v>2208</v>
      </c>
      <c r="B227" s="55" t="s">
        <v>659</v>
      </c>
      <c r="C227" s="55" t="s">
        <v>101</v>
      </c>
      <c r="D227" s="55" t="s">
        <v>61</v>
      </c>
      <c r="E227" s="72" t="s">
        <v>2298</v>
      </c>
    </row>
    <row r="228" spans="1:5">
      <c r="A228" s="68" t="s">
        <v>2186</v>
      </c>
      <c r="B228" s="55" t="s">
        <v>659</v>
      </c>
      <c r="C228" s="55" t="s">
        <v>111</v>
      </c>
      <c r="D228" s="55" t="s">
        <v>188</v>
      </c>
      <c r="E228" s="72" t="s">
        <v>2299</v>
      </c>
    </row>
    <row r="229" spans="1:5">
      <c r="A229" s="68" t="s">
        <v>2201</v>
      </c>
      <c r="B229" s="55" t="s">
        <v>298</v>
      </c>
      <c r="C229" s="55" t="s">
        <v>104</v>
      </c>
      <c r="D229" s="55" t="s">
        <v>52</v>
      </c>
      <c r="E229" s="72" t="s">
        <v>2300</v>
      </c>
    </row>
    <row r="230" spans="1:5">
      <c r="A230" s="68" t="s">
        <v>924</v>
      </c>
      <c r="B230" s="55" t="s">
        <v>298</v>
      </c>
      <c r="C230" s="55" t="s">
        <v>111</v>
      </c>
      <c r="D230" s="55" t="s">
        <v>31</v>
      </c>
      <c r="E230" s="72" t="s">
        <v>2301</v>
      </c>
    </row>
    <row r="231" spans="1:5">
      <c r="A231" s="68" t="s">
        <v>2222</v>
      </c>
      <c r="B231" s="55" t="s">
        <v>343</v>
      </c>
      <c r="C231" s="55" t="s">
        <v>1781</v>
      </c>
      <c r="D231" s="55" t="s">
        <v>207</v>
      </c>
      <c r="E231" s="72" t="s">
        <v>2302</v>
      </c>
    </row>
    <row r="232" spans="1:5">
      <c r="A232" s="68" t="s">
        <v>2192</v>
      </c>
      <c r="B232" s="55" t="s">
        <v>661</v>
      </c>
      <c r="C232" s="55" t="s">
        <v>111</v>
      </c>
      <c r="D232" s="55" t="s">
        <v>43</v>
      </c>
      <c r="E232" s="72" t="s">
        <v>2303</v>
      </c>
    </row>
    <row r="233" spans="1:5">
      <c r="A233" s="68" t="s">
        <v>2181</v>
      </c>
      <c r="B233" s="55" t="s">
        <v>343</v>
      </c>
      <c r="C233" s="55" t="s">
        <v>111</v>
      </c>
      <c r="D233" s="55" t="s">
        <v>848</v>
      </c>
      <c r="E233" s="72" t="s">
        <v>2304</v>
      </c>
    </row>
    <row r="234" spans="1:5">
      <c r="A234" s="68" t="s">
        <v>2190</v>
      </c>
      <c r="B234" s="55" t="s">
        <v>659</v>
      </c>
      <c r="C234" s="55" t="s">
        <v>111</v>
      </c>
      <c r="D234" s="55" t="s">
        <v>21</v>
      </c>
      <c r="E234" s="72" t="s">
        <v>2305</v>
      </c>
    </row>
    <row r="235" spans="1:5">
      <c r="A235" s="68" t="s">
        <v>279</v>
      </c>
      <c r="B235" s="55" t="s">
        <v>343</v>
      </c>
      <c r="C235" s="55" t="s">
        <v>304</v>
      </c>
      <c r="D235" s="55" t="s">
        <v>31</v>
      </c>
      <c r="E235" s="72" t="s">
        <v>2287</v>
      </c>
    </row>
    <row r="236" spans="1:5">
      <c r="A236" s="68" t="s">
        <v>2163</v>
      </c>
      <c r="B236" s="55" t="s">
        <v>298</v>
      </c>
      <c r="C236" s="55" t="s">
        <v>97</v>
      </c>
      <c r="D236" s="55" t="s">
        <v>43</v>
      </c>
      <c r="E236" s="72" t="s">
        <v>2306</v>
      </c>
    </row>
    <row r="237" spans="1:5">
      <c r="A237" s="68" t="s">
        <v>2166</v>
      </c>
      <c r="B237" s="55" t="s">
        <v>298</v>
      </c>
      <c r="C237" s="55" t="s">
        <v>97</v>
      </c>
      <c r="D237" s="55" t="s">
        <v>135</v>
      </c>
      <c r="E237" s="72" t="s">
        <v>2307</v>
      </c>
    </row>
  </sheetData>
  <mergeCells count="27">
    <mergeCell ref="A117:L117"/>
    <mergeCell ref="A54:L54"/>
    <mergeCell ref="A68:L68"/>
    <mergeCell ref="A82:L82"/>
    <mergeCell ref="A94:L94"/>
    <mergeCell ref="A103:L103"/>
    <mergeCell ref="A109:L109"/>
    <mergeCell ref="A17:L17"/>
    <mergeCell ref="A23:L23"/>
    <mergeCell ref="A31:L31"/>
    <mergeCell ref="A39:L39"/>
    <mergeCell ref="A42:L42"/>
    <mergeCell ref="A47:L47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9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6.5703125" style="55" bestFit="1" customWidth="1"/>
    <col min="7" max="9" width="2.140625" style="55" bestFit="1" customWidth="1"/>
    <col min="10" max="10" width="4.85546875" style="55" bestFit="1" customWidth="1"/>
    <col min="11" max="11" width="6.7109375" style="55" bestFit="1" customWidth="1"/>
    <col min="12" max="12" width="4.28515625" style="55" bestFit="1" customWidth="1"/>
    <col min="13" max="13" width="7.42578125" style="55" bestFit="1" customWidth="1"/>
  </cols>
  <sheetData>
    <row r="1" spans="1:13" s="1" customFormat="1" ht="15" customHeight="1">
      <c r="A1" s="27" t="s">
        <v>2349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6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6" spans="1:13" ht="15">
      <c r="E6" s="65" t="s">
        <v>84</v>
      </c>
    </row>
    <row r="7" spans="1:13" ht="15">
      <c r="E7" s="65" t="s">
        <v>85</v>
      </c>
    </row>
    <row r="8" spans="1:13" ht="15">
      <c r="E8" s="65" t="s">
        <v>86</v>
      </c>
    </row>
    <row r="9" spans="1:13">
      <c r="E9" s="55" t="s">
        <v>87</v>
      </c>
    </row>
    <row r="10" spans="1:13">
      <c r="E10" s="55" t="s">
        <v>88</v>
      </c>
    </row>
    <row r="11" spans="1:13">
      <c r="E11" s="55" t="s">
        <v>89</v>
      </c>
    </row>
    <row r="14" spans="1:13" ht="18">
      <c r="A14" s="66" t="s">
        <v>90</v>
      </c>
      <c r="B14" s="66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sqref="A1:M2"/>
    </sheetView>
  </sheetViews>
  <sheetFormatPr defaultRowHeight="12.75"/>
  <cols>
    <col min="1" max="1" width="29.42578125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22.85546875" style="55" bestFit="1" customWidth="1"/>
    <col min="7" max="9" width="5.5703125" style="55" bestFit="1" customWidth="1"/>
    <col min="10" max="10" width="4.85546875" style="55" bestFit="1" customWidth="1"/>
    <col min="11" max="11" width="6.7109375" style="55" bestFit="1" customWidth="1"/>
    <col min="12" max="12" width="8.5703125" style="55" bestFit="1" customWidth="1"/>
    <col min="13" max="13" width="7.42578125" style="55" bestFit="1" customWidth="1"/>
  </cols>
  <sheetData>
    <row r="1" spans="1:13" s="1" customFormat="1" ht="15" customHeight="1">
      <c r="A1" s="27" t="s">
        <v>2350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6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189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2039</v>
      </c>
      <c r="B6" s="56" t="s">
        <v>2040</v>
      </c>
      <c r="C6" s="56" t="s">
        <v>192</v>
      </c>
      <c r="D6" s="56" t="str">
        <f>"0,6885"</f>
        <v>0,6885</v>
      </c>
      <c r="E6" s="56" t="s">
        <v>81</v>
      </c>
      <c r="F6" s="56" t="s">
        <v>82</v>
      </c>
      <c r="G6" s="56" t="s">
        <v>30</v>
      </c>
      <c r="H6" s="57" t="s">
        <v>211</v>
      </c>
      <c r="I6" s="57" t="s">
        <v>52</v>
      </c>
      <c r="J6" s="57"/>
      <c r="K6" s="56">
        <v>200</v>
      </c>
      <c r="L6" s="56" t="str">
        <f>"137,7100"</f>
        <v>137,7100</v>
      </c>
      <c r="M6" s="56"/>
    </row>
    <row r="8" spans="1:13" ht="15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698</v>
      </c>
      <c r="B9" s="56" t="s">
        <v>699</v>
      </c>
      <c r="C9" s="56" t="s">
        <v>28</v>
      </c>
      <c r="D9" s="56" t="str">
        <f>"0,6742"</f>
        <v>0,6742</v>
      </c>
      <c r="E9" s="56" t="s">
        <v>17</v>
      </c>
      <c r="F9" s="56" t="s">
        <v>700</v>
      </c>
      <c r="G9" s="56" t="s">
        <v>66</v>
      </c>
      <c r="H9" s="57" t="s">
        <v>207</v>
      </c>
      <c r="I9" s="57" t="s">
        <v>207</v>
      </c>
      <c r="J9" s="57"/>
      <c r="K9" s="56">
        <v>250</v>
      </c>
      <c r="L9" s="56" t="str">
        <f>"168,5403"</f>
        <v>168,5403</v>
      </c>
      <c r="M9" s="56"/>
    </row>
    <row r="11" spans="1:13" ht="15">
      <c r="A11" s="58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>
      <c r="A12" s="59" t="s">
        <v>2041</v>
      </c>
      <c r="B12" s="59" t="s">
        <v>2042</v>
      </c>
      <c r="C12" s="59" t="s">
        <v>2043</v>
      </c>
      <c r="D12" s="59" t="str">
        <f>"0,5625"</f>
        <v>0,5625</v>
      </c>
      <c r="E12" s="59" t="s">
        <v>81</v>
      </c>
      <c r="F12" s="59" t="s">
        <v>82</v>
      </c>
      <c r="G12" s="59" t="s">
        <v>73</v>
      </c>
      <c r="H12" s="60" t="s">
        <v>395</v>
      </c>
      <c r="I12" s="60" t="s">
        <v>395</v>
      </c>
      <c r="J12" s="60"/>
      <c r="K12" s="59">
        <v>300</v>
      </c>
      <c r="L12" s="59" t="str">
        <f>"168,7500"</f>
        <v>168,7500</v>
      </c>
      <c r="M12" s="59"/>
    </row>
    <row r="13" spans="1:13">
      <c r="A13" s="63" t="s">
        <v>78</v>
      </c>
      <c r="B13" s="63" t="s">
        <v>79</v>
      </c>
      <c r="C13" s="63" t="s">
        <v>80</v>
      </c>
      <c r="D13" s="63" t="str">
        <f>"0,5803"</f>
        <v>0,5803</v>
      </c>
      <c r="E13" s="63" t="s">
        <v>81</v>
      </c>
      <c r="F13" s="63" t="s">
        <v>82</v>
      </c>
      <c r="G13" s="63" t="s">
        <v>52</v>
      </c>
      <c r="H13" s="63" t="s">
        <v>66</v>
      </c>
      <c r="I13" s="63" t="s">
        <v>207</v>
      </c>
      <c r="J13" s="64"/>
      <c r="K13" s="63">
        <v>260</v>
      </c>
      <c r="L13" s="63" t="str">
        <f>"150,8910"</f>
        <v>150,8910</v>
      </c>
      <c r="M13" s="63"/>
    </row>
    <row r="14" spans="1:13">
      <c r="A14" s="61" t="s">
        <v>2044</v>
      </c>
      <c r="B14" s="61" t="s">
        <v>2045</v>
      </c>
      <c r="C14" s="61" t="s">
        <v>2046</v>
      </c>
      <c r="D14" s="61" t="str">
        <f>"0,5755"</f>
        <v>0,5755</v>
      </c>
      <c r="E14" s="61" t="s">
        <v>81</v>
      </c>
      <c r="F14" s="61" t="s">
        <v>82</v>
      </c>
      <c r="G14" s="61" t="s">
        <v>52</v>
      </c>
      <c r="H14" s="62" t="s">
        <v>53</v>
      </c>
      <c r="I14" s="61" t="s">
        <v>53</v>
      </c>
      <c r="J14" s="62"/>
      <c r="K14" s="61">
        <v>245</v>
      </c>
      <c r="L14" s="61" t="str">
        <f>"141,0061"</f>
        <v>141,0061</v>
      </c>
      <c r="M14" s="61"/>
    </row>
    <row r="16" spans="1:13" ht="15">
      <c r="A16" s="58" t="s">
        <v>1704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3">
      <c r="A17" s="59" t="s">
        <v>2047</v>
      </c>
      <c r="B17" s="59" t="s">
        <v>2048</v>
      </c>
      <c r="C17" s="59" t="s">
        <v>2049</v>
      </c>
      <c r="D17" s="59" t="str">
        <f>"0,5263"</f>
        <v>0,5263</v>
      </c>
      <c r="E17" s="59" t="s">
        <v>81</v>
      </c>
      <c r="F17" s="59" t="s">
        <v>82</v>
      </c>
      <c r="G17" s="59" t="s">
        <v>75</v>
      </c>
      <c r="H17" s="59" t="s">
        <v>1047</v>
      </c>
      <c r="I17" s="60" t="s">
        <v>433</v>
      </c>
      <c r="J17" s="60"/>
      <c r="K17" s="59">
        <v>382.5</v>
      </c>
      <c r="L17" s="59" t="str">
        <f>"201,3193"</f>
        <v>201,3193</v>
      </c>
      <c r="M17" s="59"/>
    </row>
    <row r="18" spans="1:13">
      <c r="A18" s="61" t="s">
        <v>2050</v>
      </c>
      <c r="B18" s="61" t="s">
        <v>2051</v>
      </c>
      <c r="C18" s="61" t="s">
        <v>2052</v>
      </c>
      <c r="D18" s="61" t="str">
        <f>"0,5148"</f>
        <v>0,5148</v>
      </c>
      <c r="E18" s="61" t="s">
        <v>81</v>
      </c>
      <c r="F18" s="61" t="s">
        <v>82</v>
      </c>
      <c r="G18" s="61" t="s">
        <v>55</v>
      </c>
      <c r="H18" s="61" t="s">
        <v>278</v>
      </c>
      <c r="I18" s="62" t="s">
        <v>73</v>
      </c>
      <c r="J18" s="62"/>
      <c r="K18" s="61">
        <v>290</v>
      </c>
      <c r="L18" s="61" t="str">
        <f>"149,2790"</f>
        <v>149,2790</v>
      </c>
      <c r="M18" s="61"/>
    </row>
    <row r="20" spans="1:13" ht="15">
      <c r="E20" s="65" t="s">
        <v>84</v>
      </c>
    </row>
    <row r="21" spans="1:13" ht="15">
      <c r="E21" s="65" t="s">
        <v>85</v>
      </c>
    </row>
    <row r="22" spans="1:13" ht="15">
      <c r="E22" s="65" t="s">
        <v>86</v>
      </c>
    </row>
    <row r="23" spans="1:13">
      <c r="E23" s="55" t="s">
        <v>87</v>
      </c>
    </row>
    <row r="24" spans="1:13">
      <c r="E24" s="55" t="s">
        <v>88</v>
      </c>
    </row>
    <row r="25" spans="1:13">
      <c r="E25" s="55" t="s">
        <v>89</v>
      </c>
    </row>
    <row r="28" spans="1:13" ht="18">
      <c r="A28" s="66" t="s">
        <v>90</v>
      </c>
      <c r="B28" s="66"/>
    </row>
    <row r="29" spans="1:13" ht="15">
      <c r="A29" s="67" t="s">
        <v>91</v>
      </c>
      <c r="B29" s="67"/>
    </row>
    <row r="30" spans="1:13" ht="14.25">
      <c r="A30" s="69" t="s">
        <v>285</v>
      </c>
      <c r="B30" s="70"/>
    </row>
    <row r="31" spans="1:13" ht="15">
      <c r="A31" s="71" t="s">
        <v>0</v>
      </c>
      <c r="B31" s="71" t="s">
        <v>93</v>
      </c>
      <c r="C31" s="71" t="s">
        <v>94</v>
      </c>
      <c r="D31" s="71" t="s">
        <v>7</v>
      </c>
      <c r="E31" s="71" t="s">
        <v>95</v>
      </c>
    </row>
    <row r="32" spans="1:13">
      <c r="A32" s="68" t="s">
        <v>2039</v>
      </c>
      <c r="B32" s="55" t="s">
        <v>286</v>
      </c>
      <c r="C32" s="55" t="s">
        <v>310</v>
      </c>
      <c r="D32" s="55" t="s">
        <v>30</v>
      </c>
      <c r="E32" s="72" t="s">
        <v>2053</v>
      </c>
    </row>
    <row r="34" spans="1:5" ht="14.25">
      <c r="A34" s="69" t="s">
        <v>100</v>
      </c>
      <c r="B34" s="70"/>
    </row>
    <row r="35" spans="1:5" ht="15">
      <c r="A35" s="71" t="s">
        <v>0</v>
      </c>
      <c r="B35" s="71" t="s">
        <v>93</v>
      </c>
      <c r="C35" s="71" t="s">
        <v>94</v>
      </c>
      <c r="D35" s="71" t="s">
        <v>7</v>
      </c>
      <c r="E35" s="71" t="s">
        <v>95</v>
      </c>
    </row>
    <row r="36" spans="1:5">
      <c r="A36" s="68" t="s">
        <v>2047</v>
      </c>
      <c r="B36" s="55" t="s">
        <v>100</v>
      </c>
      <c r="C36" s="55" t="s">
        <v>1781</v>
      </c>
      <c r="D36" s="55" t="s">
        <v>1047</v>
      </c>
      <c r="E36" s="72" t="s">
        <v>2054</v>
      </c>
    </row>
    <row r="37" spans="1:5">
      <c r="A37" s="68" t="s">
        <v>2041</v>
      </c>
      <c r="B37" s="55" t="s">
        <v>100</v>
      </c>
      <c r="C37" s="55" t="s">
        <v>101</v>
      </c>
      <c r="D37" s="55" t="s">
        <v>73</v>
      </c>
      <c r="E37" s="72" t="s">
        <v>2055</v>
      </c>
    </row>
    <row r="38" spans="1:5">
      <c r="A38" s="68" t="s">
        <v>78</v>
      </c>
      <c r="B38" s="55" t="s">
        <v>100</v>
      </c>
      <c r="C38" s="55" t="s">
        <v>101</v>
      </c>
      <c r="D38" s="55" t="s">
        <v>207</v>
      </c>
      <c r="E38" s="72" t="s">
        <v>2056</v>
      </c>
    </row>
    <row r="39" spans="1:5">
      <c r="A39" s="68" t="s">
        <v>2050</v>
      </c>
      <c r="B39" s="55" t="s">
        <v>100</v>
      </c>
      <c r="C39" s="55" t="s">
        <v>1781</v>
      </c>
      <c r="D39" s="55" t="s">
        <v>278</v>
      </c>
      <c r="E39" s="72" t="s">
        <v>2057</v>
      </c>
    </row>
    <row r="41" spans="1:5" ht="14.25">
      <c r="A41" s="69" t="s">
        <v>297</v>
      </c>
      <c r="B41" s="70"/>
    </row>
    <row r="42" spans="1:5" ht="15">
      <c r="A42" s="71" t="s">
        <v>0</v>
      </c>
      <c r="B42" s="71" t="s">
        <v>93</v>
      </c>
      <c r="C42" s="71" t="s">
        <v>94</v>
      </c>
      <c r="D42" s="71" t="s">
        <v>7</v>
      </c>
      <c r="E42" s="71" t="s">
        <v>95</v>
      </c>
    </row>
    <row r="43" spans="1:5">
      <c r="A43" s="68" t="s">
        <v>698</v>
      </c>
      <c r="B43" s="55" t="s">
        <v>298</v>
      </c>
      <c r="C43" s="55" t="s">
        <v>111</v>
      </c>
      <c r="D43" s="55" t="s">
        <v>66</v>
      </c>
      <c r="E43" s="72" t="s">
        <v>2058</v>
      </c>
    </row>
    <row r="44" spans="1:5">
      <c r="A44" s="68" t="s">
        <v>2044</v>
      </c>
      <c r="B44" s="55" t="s">
        <v>343</v>
      </c>
      <c r="C44" s="55" t="s">
        <v>101</v>
      </c>
      <c r="D44" s="55" t="s">
        <v>53</v>
      </c>
      <c r="E44" s="72" t="s">
        <v>2059</v>
      </c>
    </row>
  </sheetData>
  <mergeCells count="15">
    <mergeCell ref="A16:L16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5.7109375" style="55" bestFit="1" customWidth="1"/>
    <col min="7" max="9" width="5.5703125" style="55" bestFit="1" customWidth="1"/>
    <col min="10" max="10" width="4.85546875" style="55" bestFit="1" customWidth="1"/>
    <col min="11" max="11" width="6.7109375" style="55" bestFit="1" customWidth="1"/>
    <col min="12" max="12" width="8.5703125" style="55" bestFit="1" customWidth="1"/>
    <col min="13" max="13" width="14.140625" style="55" bestFit="1" customWidth="1"/>
  </cols>
  <sheetData>
    <row r="1" spans="1:13" s="1" customFormat="1" ht="15" customHeight="1">
      <c r="A1" s="27" t="s">
        <v>2351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6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143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1985</v>
      </c>
      <c r="B6" s="56" t="s">
        <v>1986</v>
      </c>
      <c r="C6" s="56" t="s">
        <v>1987</v>
      </c>
      <c r="D6" s="56" t="str">
        <f>"0,9571"</f>
        <v>0,9571</v>
      </c>
      <c r="E6" s="56" t="s">
        <v>17</v>
      </c>
      <c r="F6" s="56" t="s">
        <v>745</v>
      </c>
      <c r="G6" s="56" t="s">
        <v>165</v>
      </c>
      <c r="H6" s="56" t="s">
        <v>131</v>
      </c>
      <c r="I6" s="57" t="s">
        <v>132</v>
      </c>
      <c r="J6" s="57"/>
      <c r="K6" s="56">
        <v>80</v>
      </c>
      <c r="L6" s="56" t="str">
        <f>"76,5680"</f>
        <v>76,5680</v>
      </c>
      <c r="M6" s="56"/>
    </row>
    <row r="8" spans="1:13" ht="15">
      <c r="A8" s="58" t="s">
        <v>116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6" t="s">
        <v>1988</v>
      </c>
      <c r="B9" s="56" t="s">
        <v>1989</v>
      </c>
      <c r="C9" s="56" t="s">
        <v>1990</v>
      </c>
      <c r="D9" s="56" t="str">
        <f>"0,9258"</f>
        <v>0,9258</v>
      </c>
      <c r="E9" s="56" t="s">
        <v>17</v>
      </c>
      <c r="F9" s="56" t="s">
        <v>153</v>
      </c>
      <c r="G9" s="56" t="s">
        <v>160</v>
      </c>
      <c r="H9" s="56" t="s">
        <v>126</v>
      </c>
      <c r="I9" s="57" t="s">
        <v>400</v>
      </c>
      <c r="J9" s="57"/>
      <c r="K9" s="56">
        <v>125</v>
      </c>
      <c r="L9" s="56" t="str">
        <f>"115,7207"</f>
        <v>115,7207</v>
      </c>
      <c r="M9" s="56"/>
    </row>
    <row r="11" spans="1:13" ht="15">
      <c r="A11" s="58" t="s">
        <v>143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>
      <c r="A12" s="56" t="s">
        <v>685</v>
      </c>
      <c r="B12" s="56" t="s">
        <v>686</v>
      </c>
      <c r="C12" s="56" t="s">
        <v>176</v>
      </c>
      <c r="D12" s="56" t="str">
        <f>"0,7503"</f>
        <v>0,7503</v>
      </c>
      <c r="E12" s="56" t="s">
        <v>81</v>
      </c>
      <c r="F12" s="56" t="s">
        <v>82</v>
      </c>
      <c r="G12" s="57" t="s">
        <v>173</v>
      </c>
      <c r="H12" s="56" t="s">
        <v>173</v>
      </c>
      <c r="I12" s="56" t="s">
        <v>19</v>
      </c>
      <c r="J12" s="57"/>
      <c r="K12" s="56">
        <v>145</v>
      </c>
      <c r="L12" s="56" t="str">
        <f>"108,8007"</f>
        <v>108,8007</v>
      </c>
      <c r="M12" s="56"/>
    </row>
    <row r="14" spans="1:13" ht="15">
      <c r="A14" s="58" t="s">
        <v>189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>
      <c r="A15" s="56" t="s">
        <v>1991</v>
      </c>
      <c r="B15" s="56" t="s">
        <v>1992</v>
      </c>
      <c r="C15" s="56" t="s">
        <v>1993</v>
      </c>
      <c r="D15" s="56" t="str">
        <f>"0,7056"</f>
        <v>0,7056</v>
      </c>
      <c r="E15" s="56" t="s">
        <v>17</v>
      </c>
      <c r="F15" s="56" t="s">
        <v>72</v>
      </c>
      <c r="G15" s="57" t="s">
        <v>30</v>
      </c>
      <c r="H15" s="56" t="s">
        <v>30</v>
      </c>
      <c r="I15" s="57" t="s">
        <v>61</v>
      </c>
      <c r="J15" s="57"/>
      <c r="K15" s="56">
        <v>200</v>
      </c>
      <c r="L15" s="56" t="str">
        <f>"141,1300"</f>
        <v>141,1300</v>
      </c>
      <c r="M15" s="56"/>
    </row>
    <row r="17" spans="1:13" ht="15">
      <c r="A17" s="58" t="s">
        <v>25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>
      <c r="A18" s="59" t="s">
        <v>1994</v>
      </c>
      <c r="B18" s="59" t="s">
        <v>1995</v>
      </c>
      <c r="C18" s="59" t="s">
        <v>521</v>
      </c>
      <c r="D18" s="59" t="str">
        <f>"0,6184"</f>
        <v>0,6184</v>
      </c>
      <c r="E18" s="59" t="s">
        <v>17</v>
      </c>
      <c r="F18" s="59" t="s">
        <v>506</v>
      </c>
      <c r="G18" s="59" t="s">
        <v>253</v>
      </c>
      <c r="H18" s="60" t="s">
        <v>1174</v>
      </c>
      <c r="I18" s="60" t="s">
        <v>1174</v>
      </c>
      <c r="J18" s="60"/>
      <c r="K18" s="59">
        <v>285</v>
      </c>
      <c r="L18" s="59" t="str">
        <f>"176,2582"</f>
        <v>176,2582</v>
      </c>
      <c r="M18" s="59" t="s">
        <v>1996</v>
      </c>
    </row>
    <row r="19" spans="1:13">
      <c r="A19" s="63" t="s">
        <v>1997</v>
      </c>
      <c r="B19" s="63" t="s">
        <v>1998</v>
      </c>
      <c r="C19" s="63" t="s">
        <v>39</v>
      </c>
      <c r="D19" s="63" t="str">
        <f>"0,6119"</f>
        <v>0,6119</v>
      </c>
      <c r="E19" s="63" t="s">
        <v>17</v>
      </c>
      <c r="F19" s="63" t="s">
        <v>696</v>
      </c>
      <c r="G19" s="63" t="s">
        <v>55</v>
      </c>
      <c r="H19" s="63" t="s">
        <v>253</v>
      </c>
      <c r="I19" s="63" t="s">
        <v>291</v>
      </c>
      <c r="J19" s="64"/>
      <c r="K19" s="63">
        <v>295</v>
      </c>
      <c r="L19" s="63" t="str">
        <f>"180,4958"</f>
        <v>180,4958</v>
      </c>
      <c r="M19" s="63" t="s">
        <v>1999</v>
      </c>
    </row>
    <row r="20" spans="1:13">
      <c r="A20" s="63" t="s">
        <v>2000</v>
      </c>
      <c r="B20" s="63" t="s">
        <v>2001</v>
      </c>
      <c r="C20" s="63" t="s">
        <v>932</v>
      </c>
      <c r="D20" s="63" t="str">
        <f>"0,6141"</f>
        <v>0,6141</v>
      </c>
      <c r="E20" s="63" t="s">
        <v>81</v>
      </c>
      <c r="F20" s="63" t="s">
        <v>82</v>
      </c>
      <c r="G20" s="63" t="s">
        <v>56</v>
      </c>
      <c r="H20" s="64" t="s">
        <v>2002</v>
      </c>
      <c r="I20" s="64" t="s">
        <v>291</v>
      </c>
      <c r="J20" s="64"/>
      <c r="K20" s="63">
        <v>280</v>
      </c>
      <c r="L20" s="63" t="str">
        <f>"171,9620"</f>
        <v>171,9620</v>
      </c>
      <c r="M20" s="63"/>
    </row>
    <row r="21" spans="1:13">
      <c r="A21" s="63" t="s">
        <v>530</v>
      </c>
      <c r="B21" s="63" t="s">
        <v>531</v>
      </c>
      <c r="C21" s="63" t="s">
        <v>39</v>
      </c>
      <c r="D21" s="63" t="str">
        <f>"0,7758"</f>
        <v>0,7758</v>
      </c>
      <c r="E21" s="63" t="s">
        <v>532</v>
      </c>
      <c r="F21" s="63" t="s">
        <v>533</v>
      </c>
      <c r="G21" s="64" t="s">
        <v>19</v>
      </c>
      <c r="H21" s="63" t="s">
        <v>33</v>
      </c>
      <c r="I21" s="63" t="s">
        <v>43</v>
      </c>
      <c r="J21" s="64"/>
      <c r="K21" s="63">
        <v>170</v>
      </c>
      <c r="L21" s="63" t="str">
        <f>"131,8904"</f>
        <v>131,8904</v>
      </c>
      <c r="M21" s="63"/>
    </row>
    <row r="22" spans="1:13">
      <c r="A22" s="61" t="s">
        <v>544</v>
      </c>
      <c r="B22" s="61" t="s">
        <v>545</v>
      </c>
      <c r="C22" s="61" t="s">
        <v>546</v>
      </c>
      <c r="D22" s="61" t="str">
        <f>"0,9900"</f>
        <v>0,9900</v>
      </c>
      <c r="E22" s="61" t="s">
        <v>17</v>
      </c>
      <c r="F22" s="61" t="s">
        <v>547</v>
      </c>
      <c r="G22" s="61" t="s">
        <v>30</v>
      </c>
      <c r="H22" s="61" t="s">
        <v>61</v>
      </c>
      <c r="I22" s="61" t="s">
        <v>31</v>
      </c>
      <c r="J22" s="62"/>
      <c r="K22" s="61">
        <v>220</v>
      </c>
      <c r="L22" s="61" t="str">
        <f>"217,7976"</f>
        <v>217,7976</v>
      </c>
      <c r="M22" s="61"/>
    </row>
    <row r="24" spans="1:13" ht="15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3">
      <c r="A25" s="59" t="s">
        <v>2003</v>
      </c>
      <c r="B25" s="59" t="s">
        <v>2004</v>
      </c>
      <c r="C25" s="59" t="s">
        <v>2005</v>
      </c>
      <c r="D25" s="59" t="str">
        <f>"0,6086"</f>
        <v>0,6086</v>
      </c>
      <c r="E25" s="59" t="s">
        <v>17</v>
      </c>
      <c r="F25" s="59" t="s">
        <v>72</v>
      </c>
      <c r="G25" s="59" t="s">
        <v>1176</v>
      </c>
      <c r="H25" s="60" t="s">
        <v>1175</v>
      </c>
      <c r="I25" s="60" t="s">
        <v>1175</v>
      </c>
      <c r="J25" s="60"/>
      <c r="K25" s="59">
        <v>320</v>
      </c>
      <c r="L25" s="59" t="str">
        <f>"194,7360"</f>
        <v>194,7360</v>
      </c>
      <c r="M25" s="59" t="s">
        <v>697</v>
      </c>
    </row>
    <row r="26" spans="1:13">
      <c r="A26" s="61" t="s">
        <v>2006</v>
      </c>
      <c r="B26" s="61" t="s">
        <v>2007</v>
      </c>
      <c r="C26" s="61" t="s">
        <v>562</v>
      </c>
      <c r="D26" s="61" t="str">
        <f>"0,8518"</f>
        <v>0,8518</v>
      </c>
      <c r="E26" s="61" t="s">
        <v>17</v>
      </c>
      <c r="F26" s="61" t="s">
        <v>2008</v>
      </c>
      <c r="G26" s="61" t="s">
        <v>149</v>
      </c>
      <c r="H26" s="61" t="s">
        <v>30</v>
      </c>
      <c r="I26" s="62"/>
      <c r="J26" s="62"/>
      <c r="K26" s="61">
        <v>200</v>
      </c>
      <c r="L26" s="61" t="str">
        <f>"170,3605"</f>
        <v>170,3605</v>
      </c>
      <c r="M26" s="61"/>
    </row>
    <row r="28" spans="1:13" ht="15">
      <c r="A28" s="58" t="s">
        <v>68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3">
      <c r="A29" s="59" t="s">
        <v>2009</v>
      </c>
      <c r="B29" s="59" t="s">
        <v>2010</v>
      </c>
      <c r="C29" s="59" t="s">
        <v>2011</v>
      </c>
      <c r="D29" s="59" t="str">
        <f>"0,5641"</f>
        <v>0,5641</v>
      </c>
      <c r="E29" s="59" t="s">
        <v>17</v>
      </c>
      <c r="F29" s="59" t="s">
        <v>51</v>
      </c>
      <c r="G29" s="59" t="s">
        <v>73</v>
      </c>
      <c r="H29" s="60" t="s">
        <v>1176</v>
      </c>
      <c r="I29" s="60" t="s">
        <v>1176</v>
      </c>
      <c r="J29" s="60"/>
      <c r="K29" s="59">
        <v>300</v>
      </c>
      <c r="L29" s="59" t="str">
        <f>"169,2150"</f>
        <v>169,2150</v>
      </c>
      <c r="M29" s="59"/>
    </row>
    <row r="30" spans="1:13">
      <c r="A30" s="61" t="s">
        <v>2012</v>
      </c>
      <c r="B30" s="61" t="s">
        <v>2013</v>
      </c>
      <c r="C30" s="61" t="s">
        <v>257</v>
      </c>
      <c r="D30" s="61" t="str">
        <f>"0,5635"</f>
        <v>0,5635</v>
      </c>
      <c r="E30" s="61" t="s">
        <v>17</v>
      </c>
      <c r="F30" s="61" t="s">
        <v>768</v>
      </c>
      <c r="G30" s="62" t="s">
        <v>66</v>
      </c>
      <c r="H30" s="62" t="s">
        <v>66</v>
      </c>
      <c r="I30" s="62"/>
      <c r="J30" s="62"/>
      <c r="K30" s="61">
        <v>0</v>
      </c>
      <c r="L30" s="61" t="str">
        <f>"0,0000"</f>
        <v>0,0000</v>
      </c>
      <c r="M30" s="61"/>
    </row>
    <row r="32" spans="1:13" ht="15">
      <c r="A32" s="58" t="s">
        <v>271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3">
      <c r="A33" s="59" t="s">
        <v>2014</v>
      </c>
      <c r="B33" s="59" t="s">
        <v>2015</v>
      </c>
      <c r="C33" s="59" t="s">
        <v>2016</v>
      </c>
      <c r="D33" s="59" t="str">
        <f>"0,5573"</f>
        <v>0,5573</v>
      </c>
      <c r="E33" s="59" t="s">
        <v>17</v>
      </c>
      <c r="F33" s="59" t="s">
        <v>2017</v>
      </c>
      <c r="G33" s="59" t="s">
        <v>180</v>
      </c>
      <c r="H33" s="59" t="s">
        <v>181</v>
      </c>
      <c r="I33" s="59" t="s">
        <v>66</v>
      </c>
      <c r="J33" s="60"/>
      <c r="K33" s="59">
        <v>250</v>
      </c>
      <c r="L33" s="59" t="str">
        <f>"139,3125"</f>
        <v>139,3125</v>
      </c>
      <c r="M33" s="59"/>
    </row>
    <row r="34" spans="1:13">
      <c r="A34" s="63" t="s">
        <v>2018</v>
      </c>
      <c r="B34" s="63" t="s">
        <v>2019</v>
      </c>
      <c r="C34" s="63" t="s">
        <v>1656</v>
      </c>
      <c r="D34" s="63" t="str">
        <f>"0,5471"</f>
        <v>0,5471</v>
      </c>
      <c r="E34" s="63" t="s">
        <v>17</v>
      </c>
      <c r="F34" s="63" t="s">
        <v>153</v>
      </c>
      <c r="G34" s="63" t="s">
        <v>1176</v>
      </c>
      <c r="H34" s="63" t="s">
        <v>77</v>
      </c>
      <c r="I34" s="63" t="s">
        <v>75</v>
      </c>
      <c r="J34" s="64"/>
      <c r="K34" s="63">
        <v>350</v>
      </c>
      <c r="L34" s="63" t="str">
        <f>"191,4850"</f>
        <v>191,4850</v>
      </c>
      <c r="M34" s="63"/>
    </row>
    <row r="35" spans="1:13">
      <c r="A35" s="61" t="s">
        <v>2020</v>
      </c>
      <c r="B35" s="61" t="s">
        <v>2021</v>
      </c>
      <c r="C35" s="61" t="s">
        <v>2022</v>
      </c>
      <c r="D35" s="61" t="str">
        <f>"0,6546"</f>
        <v>0,6546</v>
      </c>
      <c r="E35" s="61" t="s">
        <v>17</v>
      </c>
      <c r="F35" s="61" t="s">
        <v>2023</v>
      </c>
      <c r="G35" s="61" t="s">
        <v>36</v>
      </c>
      <c r="H35" s="61" t="s">
        <v>236</v>
      </c>
      <c r="I35" s="62" t="s">
        <v>752</v>
      </c>
      <c r="J35" s="62"/>
      <c r="K35" s="61">
        <v>255</v>
      </c>
      <c r="L35" s="61" t="str">
        <f>"166,9316"</f>
        <v>166,9316</v>
      </c>
      <c r="M35" s="61"/>
    </row>
    <row r="37" spans="1:13" ht="15">
      <c r="E37" s="65" t="s">
        <v>84</v>
      </c>
    </row>
    <row r="38" spans="1:13" ht="15">
      <c r="E38" s="65" t="s">
        <v>85</v>
      </c>
    </row>
    <row r="39" spans="1:13" ht="15">
      <c r="E39" s="65" t="s">
        <v>86</v>
      </c>
    </row>
    <row r="40" spans="1:13">
      <c r="E40" s="55" t="s">
        <v>87</v>
      </c>
    </row>
    <row r="41" spans="1:13">
      <c r="E41" s="55" t="s">
        <v>88</v>
      </c>
    </row>
    <row r="42" spans="1:13">
      <c r="E42" s="55" t="s">
        <v>89</v>
      </c>
    </row>
    <row r="45" spans="1:13" ht="18">
      <c r="A45" s="66" t="s">
        <v>90</v>
      </c>
      <c r="B45" s="66"/>
    </row>
    <row r="46" spans="1:13" ht="15">
      <c r="A46" s="67" t="s">
        <v>284</v>
      </c>
      <c r="B46" s="67"/>
    </row>
    <row r="47" spans="1:13" ht="14.25">
      <c r="A47" s="69" t="s">
        <v>100</v>
      </c>
      <c r="B47" s="70"/>
    </row>
    <row r="48" spans="1:13" ht="15">
      <c r="A48" s="71" t="s">
        <v>0</v>
      </c>
      <c r="B48" s="71" t="s">
        <v>93</v>
      </c>
      <c r="C48" s="71" t="s">
        <v>94</v>
      </c>
      <c r="D48" s="71" t="s">
        <v>7</v>
      </c>
      <c r="E48" s="71" t="s">
        <v>95</v>
      </c>
    </row>
    <row r="49" spans="1:5">
      <c r="A49" s="68" t="s">
        <v>1985</v>
      </c>
      <c r="B49" s="55" t="s">
        <v>100</v>
      </c>
      <c r="C49" s="55" t="s">
        <v>293</v>
      </c>
      <c r="D49" s="55" t="s">
        <v>131</v>
      </c>
      <c r="E49" s="72" t="s">
        <v>2024</v>
      </c>
    </row>
    <row r="52" spans="1:5" ht="15">
      <c r="A52" s="67" t="s">
        <v>91</v>
      </c>
      <c r="B52" s="67"/>
    </row>
    <row r="53" spans="1:5" ht="14.25">
      <c r="A53" s="69" t="s">
        <v>285</v>
      </c>
      <c r="B53" s="70"/>
    </row>
    <row r="54" spans="1:5" ht="15">
      <c r="A54" s="71" t="s">
        <v>0</v>
      </c>
      <c r="B54" s="71" t="s">
        <v>93</v>
      </c>
      <c r="C54" s="71" t="s">
        <v>94</v>
      </c>
      <c r="D54" s="71" t="s">
        <v>7</v>
      </c>
      <c r="E54" s="71" t="s">
        <v>95</v>
      </c>
    </row>
    <row r="55" spans="1:5">
      <c r="A55" s="68" t="s">
        <v>2014</v>
      </c>
      <c r="B55" s="55" t="s">
        <v>286</v>
      </c>
      <c r="C55" s="55" t="s">
        <v>304</v>
      </c>
      <c r="D55" s="55" t="s">
        <v>66</v>
      </c>
      <c r="E55" s="72" t="s">
        <v>2025</v>
      </c>
    </row>
    <row r="57" spans="1:5" ht="14.25">
      <c r="A57" s="69" t="s">
        <v>92</v>
      </c>
      <c r="B57" s="70"/>
    </row>
    <row r="58" spans="1:5" ht="15">
      <c r="A58" s="71" t="s">
        <v>0</v>
      </c>
      <c r="B58" s="71" t="s">
        <v>93</v>
      </c>
      <c r="C58" s="71" t="s">
        <v>94</v>
      </c>
      <c r="D58" s="71" t="s">
        <v>7</v>
      </c>
      <c r="E58" s="71" t="s">
        <v>95</v>
      </c>
    </row>
    <row r="59" spans="1:5">
      <c r="A59" s="68" t="s">
        <v>1994</v>
      </c>
      <c r="B59" s="55" t="s">
        <v>96</v>
      </c>
      <c r="C59" s="55" t="s">
        <v>111</v>
      </c>
      <c r="D59" s="55" t="s">
        <v>253</v>
      </c>
      <c r="E59" s="72" t="s">
        <v>2026</v>
      </c>
    </row>
    <row r="61" spans="1:5" ht="14.25">
      <c r="A61" s="69" t="s">
        <v>100</v>
      </c>
      <c r="B61" s="70"/>
    </row>
    <row r="62" spans="1:5" ht="15">
      <c r="A62" s="71" t="s">
        <v>0</v>
      </c>
      <c r="B62" s="71" t="s">
        <v>93</v>
      </c>
      <c r="C62" s="71" t="s">
        <v>94</v>
      </c>
      <c r="D62" s="71" t="s">
        <v>7</v>
      </c>
      <c r="E62" s="71" t="s">
        <v>95</v>
      </c>
    </row>
    <row r="63" spans="1:5">
      <c r="A63" s="68" t="s">
        <v>2003</v>
      </c>
      <c r="B63" s="55" t="s">
        <v>100</v>
      </c>
      <c r="C63" s="55" t="s">
        <v>104</v>
      </c>
      <c r="D63" s="55" t="s">
        <v>1176</v>
      </c>
      <c r="E63" s="72" t="s">
        <v>2027</v>
      </c>
    </row>
    <row r="64" spans="1:5">
      <c r="A64" s="68" t="s">
        <v>2018</v>
      </c>
      <c r="B64" s="55" t="s">
        <v>100</v>
      </c>
      <c r="C64" s="55" t="s">
        <v>304</v>
      </c>
      <c r="D64" s="55" t="s">
        <v>75</v>
      </c>
      <c r="E64" s="72" t="s">
        <v>2028</v>
      </c>
    </row>
    <row r="65" spans="1:5">
      <c r="A65" s="68" t="s">
        <v>1997</v>
      </c>
      <c r="B65" s="55" t="s">
        <v>100</v>
      </c>
      <c r="C65" s="55" t="s">
        <v>111</v>
      </c>
      <c r="D65" s="55" t="s">
        <v>291</v>
      </c>
      <c r="E65" s="72" t="s">
        <v>2029</v>
      </c>
    </row>
    <row r="66" spans="1:5">
      <c r="A66" s="68" t="s">
        <v>2000</v>
      </c>
      <c r="B66" s="55" t="s">
        <v>100</v>
      </c>
      <c r="C66" s="55" t="s">
        <v>111</v>
      </c>
      <c r="D66" s="55" t="s">
        <v>56</v>
      </c>
      <c r="E66" s="72" t="s">
        <v>2030</v>
      </c>
    </row>
    <row r="67" spans="1:5">
      <c r="A67" s="68" t="s">
        <v>2009</v>
      </c>
      <c r="B67" s="55" t="s">
        <v>100</v>
      </c>
      <c r="C67" s="55" t="s">
        <v>101</v>
      </c>
      <c r="D67" s="55" t="s">
        <v>73</v>
      </c>
      <c r="E67" s="72" t="s">
        <v>2031</v>
      </c>
    </row>
    <row r="68" spans="1:5">
      <c r="A68" s="68" t="s">
        <v>1991</v>
      </c>
      <c r="B68" s="55" t="s">
        <v>100</v>
      </c>
      <c r="C68" s="55" t="s">
        <v>310</v>
      </c>
      <c r="D68" s="55" t="s">
        <v>30</v>
      </c>
      <c r="E68" s="72" t="s">
        <v>2032</v>
      </c>
    </row>
    <row r="69" spans="1:5">
      <c r="A69" s="68" t="s">
        <v>685</v>
      </c>
      <c r="B69" s="55" t="s">
        <v>100</v>
      </c>
      <c r="C69" s="55" t="s">
        <v>293</v>
      </c>
      <c r="D69" s="55" t="s">
        <v>19</v>
      </c>
      <c r="E69" s="72" t="s">
        <v>2033</v>
      </c>
    </row>
    <row r="71" spans="1:5" ht="14.25">
      <c r="A71" s="69" t="s">
        <v>297</v>
      </c>
      <c r="B71" s="70"/>
    </row>
    <row r="72" spans="1:5" ht="15">
      <c r="A72" s="71" t="s">
        <v>0</v>
      </c>
      <c r="B72" s="71" t="s">
        <v>93</v>
      </c>
      <c r="C72" s="71" t="s">
        <v>94</v>
      </c>
      <c r="D72" s="71" t="s">
        <v>7</v>
      </c>
      <c r="E72" s="71" t="s">
        <v>95</v>
      </c>
    </row>
    <row r="73" spans="1:5">
      <c r="A73" s="68" t="s">
        <v>544</v>
      </c>
      <c r="B73" s="55" t="s">
        <v>665</v>
      </c>
      <c r="C73" s="55" t="s">
        <v>111</v>
      </c>
      <c r="D73" s="55" t="s">
        <v>31</v>
      </c>
      <c r="E73" s="72" t="s">
        <v>2034</v>
      </c>
    </row>
    <row r="74" spans="1:5">
      <c r="A74" s="68" t="s">
        <v>2006</v>
      </c>
      <c r="B74" s="55" t="s">
        <v>661</v>
      </c>
      <c r="C74" s="55" t="s">
        <v>104</v>
      </c>
      <c r="D74" s="55" t="s">
        <v>30</v>
      </c>
      <c r="E74" s="72" t="s">
        <v>2035</v>
      </c>
    </row>
    <row r="75" spans="1:5">
      <c r="A75" s="68" t="s">
        <v>2020</v>
      </c>
      <c r="B75" s="55" t="s">
        <v>435</v>
      </c>
      <c r="C75" s="55" t="s">
        <v>304</v>
      </c>
      <c r="D75" s="55" t="s">
        <v>236</v>
      </c>
      <c r="E75" s="72" t="s">
        <v>2036</v>
      </c>
    </row>
    <row r="76" spans="1:5">
      <c r="A76" s="68" t="s">
        <v>530</v>
      </c>
      <c r="B76" s="55" t="s">
        <v>659</v>
      </c>
      <c r="C76" s="55" t="s">
        <v>111</v>
      </c>
      <c r="D76" s="55" t="s">
        <v>43</v>
      </c>
      <c r="E76" s="72" t="s">
        <v>2037</v>
      </c>
    </row>
    <row r="77" spans="1:5">
      <c r="A77" s="68" t="s">
        <v>1988</v>
      </c>
      <c r="B77" s="55" t="s">
        <v>343</v>
      </c>
      <c r="C77" s="55" t="s">
        <v>289</v>
      </c>
      <c r="D77" s="55" t="s">
        <v>126</v>
      </c>
      <c r="E77" s="72" t="s">
        <v>2038</v>
      </c>
    </row>
  </sheetData>
  <mergeCells count="19">
    <mergeCell ref="A14:L14"/>
    <mergeCell ref="A17:L17"/>
    <mergeCell ref="A24:L24"/>
    <mergeCell ref="A28:L28"/>
    <mergeCell ref="A32:L32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29.28515625" style="55" bestFit="1" customWidth="1"/>
    <col min="7" max="9" width="5.5703125" style="55" bestFit="1" customWidth="1"/>
    <col min="10" max="10" width="4.85546875" style="55" bestFit="1" customWidth="1"/>
    <col min="11" max="11" width="6.7109375" style="55" bestFit="1" customWidth="1"/>
    <col min="12" max="12" width="8.5703125" style="55" bestFit="1" customWidth="1"/>
    <col min="13" max="13" width="18.5703125" style="55" bestFit="1" customWidth="1"/>
  </cols>
  <sheetData>
    <row r="1" spans="1:13" s="1" customFormat="1" ht="15" customHeight="1">
      <c r="A1" s="27" t="s">
        <v>2352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5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143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9" t="s">
        <v>1330</v>
      </c>
      <c r="B6" s="59" t="s">
        <v>1331</v>
      </c>
      <c r="C6" s="59" t="s">
        <v>1332</v>
      </c>
      <c r="D6" s="59" t="str">
        <f>"0,9334"</f>
        <v>0,9334</v>
      </c>
      <c r="E6" s="59" t="s">
        <v>120</v>
      </c>
      <c r="F6" s="59" t="s">
        <v>786</v>
      </c>
      <c r="G6" s="59" t="s">
        <v>126</v>
      </c>
      <c r="H6" s="60" t="s">
        <v>1943</v>
      </c>
      <c r="I6" s="60"/>
      <c r="J6" s="60"/>
      <c r="K6" s="59">
        <v>125</v>
      </c>
      <c r="L6" s="59" t="str">
        <f>"116,6812"</f>
        <v>116,6812</v>
      </c>
      <c r="M6" s="59" t="s">
        <v>1333</v>
      </c>
    </row>
    <row r="7" spans="1:13">
      <c r="A7" s="61" t="s">
        <v>1944</v>
      </c>
      <c r="B7" s="61" t="s">
        <v>1945</v>
      </c>
      <c r="C7" s="61" t="s">
        <v>168</v>
      </c>
      <c r="D7" s="61" t="str">
        <f>"0,9156"</f>
        <v>0,9156</v>
      </c>
      <c r="E7" s="61" t="s">
        <v>767</v>
      </c>
      <c r="F7" s="61" t="s">
        <v>72</v>
      </c>
      <c r="G7" s="62" t="s">
        <v>121</v>
      </c>
      <c r="H7" s="62" t="s">
        <v>121</v>
      </c>
      <c r="I7" s="62" t="s">
        <v>135</v>
      </c>
      <c r="J7" s="62"/>
      <c r="K7" s="61">
        <v>0</v>
      </c>
      <c r="L7" s="61" t="str">
        <f>"0,0000"</f>
        <v>0,0000</v>
      </c>
      <c r="M7" s="61" t="s">
        <v>1946</v>
      </c>
    </row>
    <row r="9" spans="1:13" ht="15">
      <c r="A9" s="58" t="s">
        <v>189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>
      <c r="A10" s="56" t="s">
        <v>1221</v>
      </c>
      <c r="B10" s="56" t="s">
        <v>1222</v>
      </c>
      <c r="C10" s="56" t="s">
        <v>1947</v>
      </c>
      <c r="D10" s="56" t="str">
        <f>"0,8982"</f>
        <v>0,8982</v>
      </c>
      <c r="E10" s="56" t="s">
        <v>17</v>
      </c>
      <c r="F10" s="56" t="s">
        <v>153</v>
      </c>
      <c r="G10" s="56" t="s">
        <v>1948</v>
      </c>
      <c r="H10" s="57"/>
      <c r="I10" s="57"/>
      <c r="J10" s="57"/>
      <c r="K10" s="56">
        <v>105</v>
      </c>
      <c r="L10" s="56" t="str">
        <f>"94,3110"</f>
        <v>94,3110</v>
      </c>
      <c r="M10" s="56" t="s">
        <v>1115</v>
      </c>
    </row>
    <row r="12" spans="1:13" ht="15">
      <c r="A12" s="58" t="s">
        <v>189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3">
      <c r="A13" s="59" t="s">
        <v>190</v>
      </c>
      <c r="B13" s="59" t="s">
        <v>191</v>
      </c>
      <c r="C13" s="59" t="s">
        <v>1227</v>
      </c>
      <c r="D13" s="59" t="str">
        <f>"0,6934"</f>
        <v>0,6934</v>
      </c>
      <c r="E13" s="59" t="s">
        <v>17</v>
      </c>
      <c r="F13" s="59" t="s">
        <v>193</v>
      </c>
      <c r="G13" s="59" t="s">
        <v>35</v>
      </c>
      <c r="H13" s="60" t="s">
        <v>66</v>
      </c>
      <c r="I13" s="60" t="s">
        <v>66</v>
      </c>
      <c r="J13" s="60"/>
      <c r="K13" s="59">
        <v>235</v>
      </c>
      <c r="L13" s="59" t="str">
        <f>"162,9373"</f>
        <v>162,9373</v>
      </c>
      <c r="M13" s="59" t="s">
        <v>196</v>
      </c>
    </row>
    <row r="14" spans="1:13">
      <c r="A14" s="61" t="s">
        <v>1228</v>
      </c>
      <c r="B14" s="61" t="s">
        <v>1229</v>
      </c>
      <c r="C14" s="61" t="s">
        <v>1949</v>
      </c>
      <c r="D14" s="61" t="str">
        <f>"0,7064"</f>
        <v>0,7064</v>
      </c>
      <c r="E14" s="61" t="s">
        <v>269</v>
      </c>
      <c r="F14" s="61" t="s">
        <v>164</v>
      </c>
      <c r="G14" s="62" t="s">
        <v>43</v>
      </c>
      <c r="H14" s="61" t="s">
        <v>43</v>
      </c>
      <c r="I14" s="61" t="s">
        <v>235</v>
      </c>
      <c r="J14" s="62"/>
      <c r="K14" s="61">
        <v>172.5</v>
      </c>
      <c r="L14" s="61" t="str">
        <f>"121,8540"</f>
        <v>121,8540</v>
      </c>
      <c r="M14" s="61"/>
    </row>
    <row r="16" spans="1:13" ht="15">
      <c r="A16" s="58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3">
      <c r="A17" s="59" t="s">
        <v>1950</v>
      </c>
      <c r="B17" s="59" t="s">
        <v>1951</v>
      </c>
      <c r="C17" s="59" t="s">
        <v>1952</v>
      </c>
      <c r="D17" s="59" t="str">
        <f>"0,6623"</f>
        <v>0,6623</v>
      </c>
      <c r="E17" s="59" t="s">
        <v>17</v>
      </c>
      <c r="F17" s="59" t="s">
        <v>153</v>
      </c>
      <c r="G17" s="59" t="s">
        <v>83</v>
      </c>
      <c r="H17" s="60" t="s">
        <v>30</v>
      </c>
      <c r="I17" s="60" t="s">
        <v>186</v>
      </c>
      <c r="J17" s="60"/>
      <c r="K17" s="59">
        <v>190</v>
      </c>
      <c r="L17" s="59" t="str">
        <f>"125,8465"</f>
        <v>125,8465</v>
      </c>
      <c r="M17" s="59" t="s">
        <v>1115</v>
      </c>
    </row>
    <row r="18" spans="1:13">
      <c r="A18" s="61" t="s">
        <v>1239</v>
      </c>
      <c r="B18" s="61" t="s">
        <v>1240</v>
      </c>
      <c r="C18" s="61" t="s">
        <v>1953</v>
      </c>
      <c r="D18" s="61" t="str">
        <f>"0,6467"</f>
        <v>0,6467</v>
      </c>
      <c r="E18" s="61" t="s">
        <v>269</v>
      </c>
      <c r="F18" s="61" t="s">
        <v>164</v>
      </c>
      <c r="G18" s="61" t="s">
        <v>33</v>
      </c>
      <c r="H18" s="62" t="s">
        <v>43</v>
      </c>
      <c r="I18" s="62" t="s">
        <v>43</v>
      </c>
      <c r="J18" s="62"/>
      <c r="K18" s="61">
        <v>150</v>
      </c>
      <c r="L18" s="61" t="str">
        <f>"96,9975"</f>
        <v>96,9975</v>
      </c>
      <c r="M18" s="61"/>
    </row>
    <row r="20" spans="1:13" ht="15">
      <c r="A20" s="58" t="s">
        <v>25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3">
      <c r="A21" s="59" t="s">
        <v>1954</v>
      </c>
      <c r="B21" s="59" t="s">
        <v>1955</v>
      </c>
      <c r="C21" s="59" t="s">
        <v>916</v>
      </c>
      <c r="D21" s="59" t="str">
        <f>"0,6169"</f>
        <v>0,6169</v>
      </c>
      <c r="E21" s="59" t="s">
        <v>120</v>
      </c>
      <c r="F21" s="59" t="s">
        <v>153</v>
      </c>
      <c r="G21" s="59" t="s">
        <v>44</v>
      </c>
      <c r="H21" s="60" t="s">
        <v>52</v>
      </c>
      <c r="I21" s="60" t="s">
        <v>52</v>
      </c>
      <c r="J21" s="60"/>
      <c r="K21" s="59">
        <v>215</v>
      </c>
      <c r="L21" s="59" t="str">
        <f>"132,6228"</f>
        <v>132,6228</v>
      </c>
      <c r="M21" s="59" t="s">
        <v>1115</v>
      </c>
    </row>
    <row r="22" spans="1:13">
      <c r="A22" s="63" t="s">
        <v>1236</v>
      </c>
      <c r="B22" s="63" t="s">
        <v>1237</v>
      </c>
      <c r="C22" s="63" t="s">
        <v>1956</v>
      </c>
      <c r="D22" s="63" t="str">
        <f>"0,6273"</f>
        <v>0,6273</v>
      </c>
      <c r="E22" s="63" t="s">
        <v>120</v>
      </c>
      <c r="F22" s="63" t="s">
        <v>51</v>
      </c>
      <c r="G22" s="63" t="s">
        <v>83</v>
      </c>
      <c r="H22" s="63" t="s">
        <v>30</v>
      </c>
      <c r="I22" s="63" t="s">
        <v>186</v>
      </c>
      <c r="J22" s="64"/>
      <c r="K22" s="63">
        <v>205</v>
      </c>
      <c r="L22" s="63" t="str">
        <f>"128,5863"</f>
        <v>128,5863</v>
      </c>
      <c r="M22" s="63"/>
    </row>
    <row r="23" spans="1:13">
      <c r="A23" s="63" t="s">
        <v>1236</v>
      </c>
      <c r="B23" s="63" t="s">
        <v>1242</v>
      </c>
      <c r="C23" s="63" t="s">
        <v>1956</v>
      </c>
      <c r="D23" s="63" t="str">
        <f>"0,6273"</f>
        <v>0,6273</v>
      </c>
      <c r="E23" s="63" t="s">
        <v>120</v>
      </c>
      <c r="F23" s="63" t="s">
        <v>51</v>
      </c>
      <c r="G23" s="63" t="s">
        <v>83</v>
      </c>
      <c r="H23" s="63" t="s">
        <v>30</v>
      </c>
      <c r="I23" s="63" t="s">
        <v>186</v>
      </c>
      <c r="J23" s="64"/>
      <c r="K23" s="63">
        <v>205</v>
      </c>
      <c r="L23" s="63" t="str">
        <f>"128,5863"</f>
        <v>128,5863</v>
      </c>
      <c r="M23" s="63"/>
    </row>
    <row r="24" spans="1:13">
      <c r="A24" s="61" t="s">
        <v>1552</v>
      </c>
      <c r="B24" s="61" t="s">
        <v>1553</v>
      </c>
      <c r="C24" s="61" t="s">
        <v>1554</v>
      </c>
      <c r="D24" s="61" t="str">
        <f>"0,7642"</f>
        <v>0,7642</v>
      </c>
      <c r="E24" s="61" t="s">
        <v>17</v>
      </c>
      <c r="F24" s="61" t="s">
        <v>72</v>
      </c>
      <c r="G24" s="62" t="s">
        <v>30</v>
      </c>
      <c r="H24" s="61" t="s">
        <v>30</v>
      </c>
      <c r="I24" s="62" t="s">
        <v>61</v>
      </c>
      <c r="J24" s="62"/>
      <c r="K24" s="61">
        <v>200</v>
      </c>
      <c r="L24" s="61" t="str">
        <f>"152,8468"</f>
        <v>152,8468</v>
      </c>
      <c r="M24" s="61"/>
    </row>
    <row r="26" spans="1:13" ht="15">
      <c r="A26" s="58" t="s">
        <v>47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3">
      <c r="A27" s="56" t="s">
        <v>1957</v>
      </c>
      <c r="B27" s="56" t="s">
        <v>1958</v>
      </c>
      <c r="C27" s="56" t="s">
        <v>1959</v>
      </c>
      <c r="D27" s="56" t="str">
        <f>"0,5958"</f>
        <v>0,5958</v>
      </c>
      <c r="E27" s="56" t="s">
        <v>120</v>
      </c>
      <c r="F27" s="56" t="s">
        <v>147</v>
      </c>
      <c r="G27" s="56" t="s">
        <v>31</v>
      </c>
      <c r="H27" s="56" t="s">
        <v>52</v>
      </c>
      <c r="I27" s="56" t="s">
        <v>35</v>
      </c>
      <c r="J27" s="57"/>
      <c r="K27" s="56">
        <v>235</v>
      </c>
      <c r="L27" s="56" t="str">
        <f>"140,0246"</f>
        <v>140,0246</v>
      </c>
      <c r="M27" s="56"/>
    </row>
    <row r="29" spans="1:13" ht="15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3">
      <c r="A30" s="59" t="s">
        <v>1960</v>
      </c>
      <c r="B30" s="59" t="s">
        <v>1961</v>
      </c>
      <c r="C30" s="59" t="s">
        <v>1962</v>
      </c>
      <c r="D30" s="59" t="str">
        <f>"0,5760"</f>
        <v>0,5760</v>
      </c>
      <c r="E30" s="59" t="s">
        <v>17</v>
      </c>
      <c r="F30" s="59" t="s">
        <v>768</v>
      </c>
      <c r="G30" s="60" t="s">
        <v>44</v>
      </c>
      <c r="H30" s="59" t="s">
        <v>44</v>
      </c>
      <c r="I30" s="60" t="s">
        <v>211</v>
      </c>
      <c r="J30" s="60"/>
      <c r="K30" s="59">
        <v>215</v>
      </c>
      <c r="L30" s="59" t="str">
        <f>"123,8507"</f>
        <v>123,8507</v>
      </c>
      <c r="M30" s="59"/>
    </row>
    <row r="31" spans="1:13">
      <c r="A31" s="61" t="s">
        <v>266</v>
      </c>
      <c r="B31" s="61" t="s">
        <v>267</v>
      </c>
      <c r="C31" s="61" t="s">
        <v>1963</v>
      </c>
      <c r="D31" s="61" t="str">
        <f>"0,6393"</f>
        <v>0,6393</v>
      </c>
      <c r="E31" s="61" t="s">
        <v>269</v>
      </c>
      <c r="F31" s="61" t="s">
        <v>164</v>
      </c>
      <c r="G31" s="62" t="s">
        <v>149</v>
      </c>
      <c r="H31" s="61" t="s">
        <v>149</v>
      </c>
      <c r="I31" s="62"/>
      <c r="J31" s="62"/>
      <c r="K31" s="61">
        <v>120</v>
      </c>
      <c r="L31" s="61" t="str">
        <f>"76,7169"</f>
        <v>76,7169</v>
      </c>
      <c r="M31" s="61"/>
    </row>
    <row r="33" spans="1:13" ht="15">
      <c r="A33" s="58" t="s">
        <v>271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3">
      <c r="A34" s="59" t="s">
        <v>1964</v>
      </c>
      <c r="B34" s="59" t="s">
        <v>1965</v>
      </c>
      <c r="C34" s="59" t="s">
        <v>1966</v>
      </c>
      <c r="D34" s="59" t="str">
        <f>"0,5469"</f>
        <v>0,5469</v>
      </c>
      <c r="E34" s="59" t="s">
        <v>120</v>
      </c>
      <c r="F34" s="59" t="s">
        <v>51</v>
      </c>
      <c r="G34" s="59" t="s">
        <v>207</v>
      </c>
      <c r="H34" s="59" t="s">
        <v>445</v>
      </c>
      <c r="I34" s="60" t="s">
        <v>56</v>
      </c>
      <c r="J34" s="60"/>
      <c r="K34" s="59">
        <v>275</v>
      </c>
      <c r="L34" s="59" t="str">
        <f>"150,4112"</f>
        <v>150,4112</v>
      </c>
      <c r="M34" s="59"/>
    </row>
    <row r="35" spans="1:13">
      <c r="A35" s="63" t="s">
        <v>1967</v>
      </c>
      <c r="B35" s="63" t="s">
        <v>1968</v>
      </c>
      <c r="C35" s="63" t="s">
        <v>1969</v>
      </c>
      <c r="D35" s="63" t="str">
        <f>"0,5457"</f>
        <v>0,5457</v>
      </c>
      <c r="E35" s="63" t="s">
        <v>120</v>
      </c>
      <c r="F35" s="63" t="s">
        <v>51</v>
      </c>
      <c r="G35" s="64" t="s">
        <v>56</v>
      </c>
      <c r="H35" s="64" t="s">
        <v>56</v>
      </c>
      <c r="I35" s="64" t="s">
        <v>56</v>
      </c>
      <c r="J35" s="64"/>
      <c r="K35" s="63">
        <v>0</v>
      </c>
      <c r="L35" s="63" t="str">
        <f>"0,0000"</f>
        <v>0,0000</v>
      </c>
      <c r="M35" s="63"/>
    </row>
    <row r="36" spans="1:13">
      <c r="A36" s="63" t="s">
        <v>1967</v>
      </c>
      <c r="B36" s="63" t="s">
        <v>1970</v>
      </c>
      <c r="C36" s="63" t="s">
        <v>1969</v>
      </c>
      <c r="D36" s="63" t="str">
        <f>"0,6166"</f>
        <v>0,6166</v>
      </c>
      <c r="E36" s="63" t="s">
        <v>120</v>
      </c>
      <c r="F36" s="63" t="s">
        <v>51</v>
      </c>
      <c r="G36" s="64" t="s">
        <v>56</v>
      </c>
      <c r="H36" s="64" t="s">
        <v>56</v>
      </c>
      <c r="I36" s="64" t="s">
        <v>56</v>
      </c>
      <c r="J36" s="64"/>
      <c r="K36" s="63">
        <v>0</v>
      </c>
      <c r="L36" s="63" t="str">
        <f>"0,0000"</f>
        <v>0,0000</v>
      </c>
      <c r="M36" s="63"/>
    </row>
    <row r="37" spans="1:13">
      <c r="A37" s="61" t="s">
        <v>1681</v>
      </c>
      <c r="B37" s="61" t="s">
        <v>1682</v>
      </c>
      <c r="C37" s="61" t="s">
        <v>1664</v>
      </c>
      <c r="D37" s="61" t="str">
        <f>"0,7337"</f>
        <v>0,7337</v>
      </c>
      <c r="E37" s="61" t="s">
        <v>120</v>
      </c>
      <c r="F37" s="61" t="s">
        <v>1353</v>
      </c>
      <c r="G37" s="61" t="s">
        <v>21</v>
      </c>
      <c r="H37" s="61" t="s">
        <v>83</v>
      </c>
      <c r="I37" s="62"/>
      <c r="J37" s="62"/>
      <c r="K37" s="61">
        <v>190</v>
      </c>
      <c r="L37" s="61" t="str">
        <f>"139,4062"</f>
        <v>139,4062</v>
      </c>
      <c r="M37" s="61" t="s">
        <v>1333</v>
      </c>
    </row>
    <row r="39" spans="1:13" ht="15">
      <c r="E39" s="65" t="s">
        <v>84</v>
      </c>
    </row>
    <row r="40" spans="1:13" ht="15">
      <c r="E40" s="65" t="s">
        <v>85</v>
      </c>
    </row>
    <row r="41" spans="1:13" ht="15">
      <c r="E41" s="65" t="s">
        <v>86</v>
      </c>
    </row>
    <row r="42" spans="1:13">
      <c r="E42" s="55" t="s">
        <v>87</v>
      </c>
    </row>
    <row r="43" spans="1:13">
      <c r="E43" s="55" t="s">
        <v>88</v>
      </c>
    </row>
    <row r="44" spans="1:13">
      <c r="E44" s="55" t="s">
        <v>89</v>
      </c>
    </row>
    <row r="47" spans="1:13" ht="18">
      <c r="A47" s="66" t="s">
        <v>90</v>
      </c>
      <c r="B47" s="66"/>
    </row>
    <row r="48" spans="1:13" ht="15">
      <c r="A48" s="67" t="s">
        <v>284</v>
      </c>
      <c r="B48" s="67"/>
    </row>
    <row r="49" spans="1:5" ht="14.25">
      <c r="A49" s="69" t="s">
        <v>100</v>
      </c>
      <c r="B49" s="70"/>
    </row>
    <row r="50" spans="1:5" ht="15">
      <c r="A50" s="71" t="s">
        <v>0</v>
      </c>
      <c r="B50" s="71" t="s">
        <v>93</v>
      </c>
      <c r="C50" s="71" t="s">
        <v>94</v>
      </c>
      <c r="D50" s="71" t="s">
        <v>7</v>
      </c>
      <c r="E50" s="71" t="s">
        <v>95</v>
      </c>
    </row>
    <row r="51" spans="1:5">
      <c r="A51" s="68" t="s">
        <v>1330</v>
      </c>
      <c r="B51" s="55" t="s">
        <v>100</v>
      </c>
      <c r="C51" s="55" t="s">
        <v>293</v>
      </c>
      <c r="D51" s="55" t="s">
        <v>126</v>
      </c>
      <c r="E51" s="72" t="s">
        <v>1971</v>
      </c>
    </row>
    <row r="52" spans="1:5">
      <c r="A52" s="68" t="s">
        <v>1221</v>
      </c>
      <c r="B52" s="55" t="s">
        <v>100</v>
      </c>
      <c r="C52" s="55" t="s">
        <v>310</v>
      </c>
      <c r="D52" s="55" t="s">
        <v>136</v>
      </c>
      <c r="E52" s="72" t="s">
        <v>1972</v>
      </c>
    </row>
    <row r="55" spans="1:5" ht="15">
      <c r="A55" s="67" t="s">
        <v>91</v>
      </c>
      <c r="B55" s="67"/>
    </row>
    <row r="56" spans="1:5" ht="14.25">
      <c r="A56" s="69" t="s">
        <v>100</v>
      </c>
      <c r="B56" s="70"/>
    </row>
    <row r="57" spans="1:5" ht="15">
      <c r="A57" s="71" t="s">
        <v>0</v>
      </c>
      <c r="B57" s="71" t="s">
        <v>93</v>
      </c>
      <c r="C57" s="71" t="s">
        <v>94</v>
      </c>
      <c r="D57" s="71" t="s">
        <v>7</v>
      </c>
      <c r="E57" s="71" t="s">
        <v>95</v>
      </c>
    </row>
    <row r="58" spans="1:5">
      <c r="A58" s="68" t="s">
        <v>190</v>
      </c>
      <c r="B58" s="55" t="s">
        <v>100</v>
      </c>
      <c r="C58" s="55" t="s">
        <v>310</v>
      </c>
      <c r="D58" s="55" t="s">
        <v>35</v>
      </c>
      <c r="E58" s="72" t="s">
        <v>1973</v>
      </c>
    </row>
    <row r="59" spans="1:5">
      <c r="A59" s="68" t="s">
        <v>1964</v>
      </c>
      <c r="B59" s="55" t="s">
        <v>100</v>
      </c>
      <c r="C59" s="55" t="s">
        <v>304</v>
      </c>
      <c r="D59" s="55" t="s">
        <v>445</v>
      </c>
      <c r="E59" s="72" t="s">
        <v>1974</v>
      </c>
    </row>
    <row r="60" spans="1:5">
      <c r="A60" s="68" t="s">
        <v>1954</v>
      </c>
      <c r="B60" s="55" t="s">
        <v>100</v>
      </c>
      <c r="C60" s="55" t="s">
        <v>111</v>
      </c>
      <c r="D60" s="55" t="s">
        <v>44</v>
      </c>
      <c r="E60" s="72" t="s">
        <v>1975</v>
      </c>
    </row>
    <row r="61" spans="1:5">
      <c r="A61" s="68" t="s">
        <v>1236</v>
      </c>
      <c r="B61" s="55" t="s">
        <v>100</v>
      </c>
      <c r="C61" s="55" t="s">
        <v>111</v>
      </c>
      <c r="D61" s="55" t="s">
        <v>186</v>
      </c>
      <c r="E61" s="72" t="s">
        <v>1976</v>
      </c>
    </row>
    <row r="62" spans="1:5">
      <c r="A62" s="68" t="s">
        <v>1950</v>
      </c>
      <c r="B62" s="55" t="s">
        <v>100</v>
      </c>
      <c r="C62" s="55" t="s">
        <v>97</v>
      </c>
      <c r="D62" s="55" t="s">
        <v>83</v>
      </c>
      <c r="E62" s="72" t="s">
        <v>1977</v>
      </c>
    </row>
    <row r="63" spans="1:5">
      <c r="A63" s="68" t="s">
        <v>1960</v>
      </c>
      <c r="B63" s="55" t="s">
        <v>100</v>
      </c>
      <c r="C63" s="55" t="s">
        <v>101</v>
      </c>
      <c r="D63" s="55" t="s">
        <v>44</v>
      </c>
      <c r="E63" s="72" t="s">
        <v>1978</v>
      </c>
    </row>
    <row r="64" spans="1:5">
      <c r="A64" s="68" t="s">
        <v>1228</v>
      </c>
      <c r="B64" s="55" t="s">
        <v>100</v>
      </c>
      <c r="C64" s="55" t="s">
        <v>310</v>
      </c>
      <c r="D64" s="55" t="s">
        <v>235</v>
      </c>
      <c r="E64" s="72" t="s">
        <v>1979</v>
      </c>
    </row>
    <row r="65" spans="1:5">
      <c r="A65" s="68" t="s">
        <v>1239</v>
      </c>
      <c r="B65" s="55" t="s">
        <v>100</v>
      </c>
      <c r="C65" s="55" t="s">
        <v>97</v>
      </c>
      <c r="D65" s="55" t="s">
        <v>33</v>
      </c>
      <c r="E65" s="72" t="s">
        <v>1980</v>
      </c>
    </row>
    <row r="67" spans="1:5" ht="14.25">
      <c r="A67" s="69" t="s">
        <v>297</v>
      </c>
      <c r="B67" s="70"/>
    </row>
    <row r="68" spans="1:5" ht="15">
      <c r="A68" s="71" t="s">
        <v>0</v>
      </c>
      <c r="B68" s="71" t="s">
        <v>93</v>
      </c>
      <c r="C68" s="71" t="s">
        <v>94</v>
      </c>
      <c r="D68" s="71" t="s">
        <v>7</v>
      </c>
      <c r="E68" s="71" t="s">
        <v>95</v>
      </c>
    </row>
    <row r="69" spans="1:5">
      <c r="A69" s="68" t="s">
        <v>1552</v>
      </c>
      <c r="B69" s="55" t="s">
        <v>659</v>
      </c>
      <c r="C69" s="55" t="s">
        <v>111</v>
      </c>
      <c r="D69" s="55" t="s">
        <v>30</v>
      </c>
      <c r="E69" s="72" t="s">
        <v>1981</v>
      </c>
    </row>
    <row r="70" spans="1:5">
      <c r="A70" s="68" t="s">
        <v>1957</v>
      </c>
      <c r="B70" s="55" t="s">
        <v>343</v>
      </c>
      <c r="C70" s="55" t="s">
        <v>104</v>
      </c>
      <c r="D70" s="55" t="s">
        <v>35</v>
      </c>
      <c r="E70" s="72" t="s">
        <v>1982</v>
      </c>
    </row>
    <row r="71" spans="1:5">
      <c r="A71" s="68" t="s">
        <v>1681</v>
      </c>
      <c r="B71" s="55" t="s">
        <v>661</v>
      </c>
      <c r="C71" s="55" t="s">
        <v>304</v>
      </c>
      <c r="D71" s="55" t="s">
        <v>83</v>
      </c>
      <c r="E71" s="72" t="s">
        <v>1983</v>
      </c>
    </row>
    <row r="72" spans="1:5">
      <c r="A72" s="68" t="s">
        <v>1236</v>
      </c>
      <c r="B72" s="55" t="s">
        <v>343</v>
      </c>
      <c r="C72" s="55" t="s">
        <v>111</v>
      </c>
      <c r="D72" s="55" t="s">
        <v>186</v>
      </c>
      <c r="E72" s="72" t="s">
        <v>1976</v>
      </c>
    </row>
    <row r="73" spans="1:5">
      <c r="A73" s="68" t="s">
        <v>266</v>
      </c>
      <c r="B73" s="55" t="s">
        <v>298</v>
      </c>
      <c r="C73" s="55" t="s">
        <v>101</v>
      </c>
      <c r="D73" s="55" t="s">
        <v>149</v>
      </c>
      <c r="E73" s="72" t="s">
        <v>1984</v>
      </c>
    </row>
  </sheetData>
  <mergeCells count="19">
    <mergeCell ref="A16:L16"/>
    <mergeCell ref="A20:L20"/>
    <mergeCell ref="A26:L26"/>
    <mergeCell ref="A29:L29"/>
    <mergeCell ref="A33:L33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1"/>
  <sheetViews>
    <sheetView workbookViewId="0">
      <selection activeCell="A3" sqref="A3:A4"/>
    </sheetView>
  </sheetViews>
  <sheetFormatPr defaultRowHeight="12.75"/>
  <cols>
    <col min="1" max="1" width="27" style="55" bestFit="1" customWidth="1"/>
    <col min="2" max="2" width="30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2.42578125" style="55" bestFit="1" customWidth="1"/>
    <col min="7" max="10" width="5.5703125" style="55" bestFit="1" customWidth="1"/>
    <col min="11" max="11" width="6.7109375" style="55" bestFit="1" customWidth="1"/>
    <col min="12" max="12" width="8.5703125" style="55" bestFit="1" customWidth="1"/>
    <col min="13" max="13" width="18.5703125" style="55" bestFit="1" customWidth="1"/>
  </cols>
  <sheetData>
    <row r="1" spans="1:13" s="1" customFormat="1" ht="15" customHeight="1">
      <c r="A1" s="27" t="s">
        <v>2353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5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455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6" t="s">
        <v>1840</v>
      </c>
      <c r="B6" s="56" t="s">
        <v>1841</v>
      </c>
      <c r="C6" s="56" t="s">
        <v>1842</v>
      </c>
      <c r="D6" s="56" t="str">
        <f>"1,2195"</f>
        <v>1,2195</v>
      </c>
      <c r="E6" s="56" t="s">
        <v>17</v>
      </c>
      <c r="F6" s="56" t="s">
        <v>153</v>
      </c>
      <c r="G6" s="56" t="s">
        <v>148</v>
      </c>
      <c r="H6" s="56" t="s">
        <v>141</v>
      </c>
      <c r="I6" s="57" t="s">
        <v>142</v>
      </c>
      <c r="J6" s="57"/>
      <c r="K6" s="56">
        <v>60</v>
      </c>
      <c r="L6" s="56" t="str">
        <f>"73,1700"</f>
        <v>73,1700</v>
      </c>
      <c r="M6" s="56"/>
    </row>
    <row r="8" spans="1:13" ht="15">
      <c r="A8" s="58" t="s">
        <v>350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>
      <c r="A9" s="59" t="s">
        <v>1843</v>
      </c>
      <c r="B9" s="59" t="s">
        <v>1844</v>
      </c>
      <c r="C9" s="59" t="s">
        <v>1845</v>
      </c>
      <c r="D9" s="59" t="str">
        <f>"1,1144"</f>
        <v>1,1144</v>
      </c>
      <c r="E9" s="59" t="s">
        <v>17</v>
      </c>
      <c r="F9" s="59" t="s">
        <v>72</v>
      </c>
      <c r="G9" s="59" t="s">
        <v>169</v>
      </c>
      <c r="H9" s="59" t="s">
        <v>170</v>
      </c>
      <c r="I9" s="59" t="s">
        <v>772</v>
      </c>
      <c r="J9" s="60"/>
      <c r="K9" s="59">
        <v>77.5</v>
      </c>
      <c r="L9" s="59" t="str">
        <f>"86,3660"</f>
        <v>86,3660</v>
      </c>
      <c r="M9" s="59"/>
    </row>
    <row r="10" spans="1:13">
      <c r="A10" s="63" t="s">
        <v>1122</v>
      </c>
      <c r="B10" s="63" t="s">
        <v>1123</v>
      </c>
      <c r="C10" s="63" t="s">
        <v>1846</v>
      </c>
      <c r="D10" s="63" t="str">
        <f>"1,1110"</f>
        <v>1,1110</v>
      </c>
      <c r="E10" s="63" t="s">
        <v>17</v>
      </c>
      <c r="F10" s="63" t="s">
        <v>768</v>
      </c>
      <c r="G10" s="63" t="s">
        <v>1125</v>
      </c>
      <c r="H10" s="64" t="s">
        <v>482</v>
      </c>
      <c r="I10" s="64" t="s">
        <v>482</v>
      </c>
      <c r="J10" s="64"/>
      <c r="K10" s="63">
        <v>57.5</v>
      </c>
      <c r="L10" s="63" t="str">
        <f>"63,8825"</f>
        <v>63,8825</v>
      </c>
      <c r="M10" s="63"/>
    </row>
    <row r="11" spans="1:13">
      <c r="A11" s="63" t="s">
        <v>1126</v>
      </c>
      <c r="B11" s="63" t="s">
        <v>1127</v>
      </c>
      <c r="C11" s="63" t="s">
        <v>1128</v>
      </c>
      <c r="D11" s="63" t="str">
        <f>"1,1126"</f>
        <v>1,1126</v>
      </c>
      <c r="E11" s="63" t="s">
        <v>17</v>
      </c>
      <c r="F11" s="63" t="s">
        <v>72</v>
      </c>
      <c r="G11" s="63" t="s">
        <v>148</v>
      </c>
      <c r="H11" s="64" t="s">
        <v>141</v>
      </c>
      <c r="I11" s="64" t="s">
        <v>141</v>
      </c>
      <c r="J11" s="64"/>
      <c r="K11" s="63">
        <v>55</v>
      </c>
      <c r="L11" s="63" t="str">
        <f>"61,1930"</f>
        <v>61,1930</v>
      </c>
      <c r="M11" s="63" t="s">
        <v>1129</v>
      </c>
    </row>
    <row r="12" spans="1:13">
      <c r="A12" s="61" t="s">
        <v>1843</v>
      </c>
      <c r="B12" s="61" t="s">
        <v>1847</v>
      </c>
      <c r="C12" s="61" t="s">
        <v>1845</v>
      </c>
      <c r="D12" s="61" t="str">
        <f>"1,1144"</f>
        <v>1,1144</v>
      </c>
      <c r="E12" s="61" t="s">
        <v>17</v>
      </c>
      <c r="F12" s="61" t="s">
        <v>72</v>
      </c>
      <c r="G12" s="61" t="s">
        <v>169</v>
      </c>
      <c r="H12" s="61" t="s">
        <v>170</v>
      </c>
      <c r="I12" s="61" t="s">
        <v>772</v>
      </c>
      <c r="J12" s="62"/>
      <c r="K12" s="61">
        <v>77.5</v>
      </c>
      <c r="L12" s="61" t="str">
        <f>"86,3660"</f>
        <v>86,3660</v>
      </c>
      <c r="M12" s="61"/>
    </row>
    <row r="14" spans="1:13" ht="15">
      <c r="A14" s="58" t="s">
        <v>116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>
      <c r="A15" s="59" t="s">
        <v>1848</v>
      </c>
      <c r="B15" s="59" t="s">
        <v>1849</v>
      </c>
      <c r="C15" s="59" t="s">
        <v>1850</v>
      </c>
      <c r="D15" s="59" t="str">
        <f>"1,0748"</f>
        <v>1,0748</v>
      </c>
      <c r="E15" s="59" t="s">
        <v>17</v>
      </c>
      <c r="F15" s="59" t="s">
        <v>29</v>
      </c>
      <c r="G15" s="60" t="s">
        <v>359</v>
      </c>
      <c r="H15" s="59" t="s">
        <v>359</v>
      </c>
      <c r="I15" s="60" t="s">
        <v>1851</v>
      </c>
      <c r="J15" s="60"/>
      <c r="K15" s="59">
        <v>92.5</v>
      </c>
      <c r="L15" s="59" t="str">
        <f>"99,4190"</f>
        <v>99,4190</v>
      </c>
      <c r="M15" s="59"/>
    </row>
    <row r="16" spans="1:13">
      <c r="A16" s="63" t="s">
        <v>1852</v>
      </c>
      <c r="B16" s="63" t="s">
        <v>1853</v>
      </c>
      <c r="C16" s="63" t="s">
        <v>766</v>
      </c>
      <c r="D16" s="63" t="str">
        <f>"1,0591"</f>
        <v>1,0591</v>
      </c>
      <c r="E16" s="63" t="s">
        <v>17</v>
      </c>
      <c r="F16" s="63" t="s">
        <v>29</v>
      </c>
      <c r="G16" s="64" t="s">
        <v>155</v>
      </c>
      <c r="H16" s="64" t="s">
        <v>359</v>
      </c>
      <c r="I16" s="64" t="s">
        <v>359</v>
      </c>
      <c r="J16" s="64"/>
      <c r="K16" s="63">
        <v>0</v>
      </c>
      <c r="L16" s="63" t="str">
        <f>"0,0000"</f>
        <v>0,0000</v>
      </c>
      <c r="M16" s="63"/>
    </row>
    <row r="17" spans="1:13">
      <c r="A17" s="61" t="s">
        <v>1848</v>
      </c>
      <c r="B17" s="61" t="s">
        <v>1854</v>
      </c>
      <c r="C17" s="61" t="s">
        <v>1850</v>
      </c>
      <c r="D17" s="61" t="str">
        <f>"1,0748"</f>
        <v>1,0748</v>
      </c>
      <c r="E17" s="61" t="s">
        <v>17</v>
      </c>
      <c r="F17" s="61" t="s">
        <v>29</v>
      </c>
      <c r="G17" s="62" t="s">
        <v>359</v>
      </c>
      <c r="H17" s="61" t="s">
        <v>359</v>
      </c>
      <c r="I17" s="62"/>
      <c r="J17" s="62"/>
      <c r="K17" s="61">
        <v>92.5</v>
      </c>
      <c r="L17" s="61" t="str">
        <f>"99,4190"</f>
        <v>99,4190</v>
      </c>
      <c r="M17" s="61"/>
    </row>
    <row r="19" spans="1:13" ht="15">
      <c r="A19" s="58" t="s">
        <v>143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3">
      <c r="A20" s="59" t="s">
        <v>1330</v>
      </c>
      <c r="B20" s="59" t="s">
        <v>1331</v>
      </c>
      <c r="C20" s="59" t="s">
        <v>1332</v>
      </c>
      <c r="D20" s="59" t="str">
        <f>"0,9334"</f>
        <v>0,9334</v>
      </c>
      <c r="E20" s="59" t="s">
        <v>17</v>
      </c>
      <c r="F20" s="59" t="s">
        <v>786</v>
      </c>
      <c r="G20" s="59" t="s">
        <v>126</v>
      </c>
      <c r="H20" s="59" t="s">
        <v>173</v>
      </c>
      <c r="I20" s="60" t="s">
        <v>400</v>
      </c>
      <c r="J20" s="60"/>
      <c r="K20" s="59">
        <v>130</v>
      </c>
      <c r="L20" s="59" t="str">
        <f>"121,3485"</f>
        <v>121,3485</v>
      </c>
      <c r="M20" s="59" t="s">
        <v>1333</v>
      </c>
    </row>
    <row r="21" spans="1:13">
      <c r="A21" s="61" t="s">
        <v>1855</v>
      </c>
      <c r="B21" s="61" t="s">
        <v>1856</v>
      </c>
      <c r="C21" s="61" t="s">
        <v>1857</v>
      </c>
      <c r="D21" s="61" t="str">
        <f>"0,9584"</f>
        <v>0,9584</v>
      </c>
      <c r="E21" s="61" t="s">
        <v>17</v>
      </c>
      <c r="F21" s="61" t="s">
        <v>768</v>
      </c>
      <c r="G21" s="61" t="s">
        <v>142</v>
      </c>
      <c r="H21" s="61" t="s">
        <v>165</v>
      </c>
      <c r="I21" s="61" t="s">
        <v>170</v>
      </c>
      <c r="J21" s="62"/>
      <c r="K21" s="61">
        <v>75</v>
      </c>
      <c r="L21" s="61" t="str">
        <f>"71,8763"</f>
        <v>71,8763</v>
      </c>
      <c r="M21" s="61" t="s">
        <v>1858</v>
      </c>
    </row>
    <row r="23" spans="1:13" ht="15">
      <c r="A23" s="58" t="s">
        <v>127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3">
      <c r="A24" s="56" t="s">
        <v>161</v>
      </c>
      <c r="B24" s="56" t="s">
        <v>162</v>
      </c>
      <c r="C24" s="56" t="s">
        <v>1142</v>
      </c>
      <c r="D24" s="56" t="str">
        <f>"0,8328"</f>
        <v>0,8328</v>
      </c>
      <c r="E24" s="56" t="s">
        <v>269</v>
      </c>
      <c r="F24" s="56" t="s">
        <v>164</v>
      </c>
      <c r="G24" s="57" t="s">
        <v>465</v>
      </c>
      <c r="H24" s="56" t="s">
        <v>465</v>
      </c>
      <c r="I24" s="57" t="s">
        <v>121</v>
      </c>
      <c r="J24" s="57"/>
      <c r="K24" s="56">
        <v>87.5</v>
      </c>
      <c r="L24" s="56" t="str">
        <f>"72,8744"</f>
        <v>72,8744</v>
      </c>
      <c r="M24" s="56"/>
    </row>
    <row r="26" spans="1:13" ht="15">
      <c r="A26" s="58" t="s">
        <v>143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3">
      <c r="A27" s="59" t="s">
        <v>1859</v>
      </c>
      <c r="B27" s="59" t="s">
        <v>1860</v>
      </c>
      <c r="C27" s="59" t="s">
        <v>1861</v>
      </c>
      <c r="D27" s="59" t="str">
        <f>"0,7681"</f>
        <v>0,7681</v>
      </c>
      <c r="E27" s="59" t="s">
        <v>17</v>
      </c>
      <c r="F27" s="59" t="s">
        <v>1862</v>
      </c>
      <c r="G27" s="59" t="s">
        <v>32</v>
      </c>
      <c r="H27" s="59" t="s">
        <v>19</v>
      </c>
      <c r="I27" s="60" t="s">
        <v>265</v>
      </c>
      <c r="J27" s="60"/>
      <c r="K27" s="59">
        <v>145</v>
      </c>
      <c r="L27" s="59" t="str">
        <f>"111,3673"</f>
        <v>111,3673</v>
      </c>
      <c r="M27" s="59"/>
    </row>
    <row r="28" spans="1:13">
      <c r="A28" s="61" t="s">
        <v>1414</v>
      </c>
      <c r="B28" s="61" t="s">
        <v>1415</v>
      </c>
      <c r="C28" s="61" t="s">
        <v>818</v>
      </c>
      <c r="D28" s="61" t="str">
        <f>"0,7590"</f>
        <v>0,7590</v>
      </c>
      <c r="E28" s="61" t="s">
        <v>17</v>
      </c>
      <c r="F28" s="61" t="s">
        <v>206</v>
      </c>
      <c r="G28" s="62" t="s">
        <v>836</v>
      </c>
      <c r="H28" s="62" t="s">
        <v>836</v>
      </c>
      <c r="I28" s="62" t="s">
        <v>883</v>
      </c>
      <c r="J28" s="62"/>
      <c r="K28" s="61">
        <v>0</v>
      </c>
      <c r="L28" s="61" t="str">
        <f>"0,0000"</f>
        <v>0,0000</v>
      </c>
      <c r="M28" s="61"/>
    </row>
    <row r="30" spans="1:13" ht="15">
      <c r="A30" s="58" t="s">
        <v>189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3">
      <c r="A31" s="59" t="s">
        <v>1434</v>
      </c>
      <c r="B31" s="59" t="s">
        <v>1435</v>
      </c>
      <c r="C31" s="59" t="s">
        <v>499</v>
      </c>
      <c r="D31" s="59" t="str">
        <f>"0,6975"</f>
        <v>0,6975</v>
      </c>
      <c r="E31" s="59" t="s">
        <v>17</v>
      </c>
      <c r="F31" s="59" t="s">
        <v>1404</v>
      </c>
      <c r="G31" s="60" t="s">
        <v>67</v>
      </c>
      <c r="H31" s="60" t="s">
        <v>67</v>
      </c>
      <c r="I31" s="60" t="s">
        <v>67</v>
      </c>
      <c r="J31" s="60"/>
      <c r="K31" s="59">
        <v>0</v>
      </c>
      <c r="L31" s="59" t="str">
        <f>"0,0000"</f>
        <v>0,0000</v>
      </c>
      <c r="M31" s="59" t="s">
        <v>1405</v>
      </c>
    </row>
    <row r="32" spans="1:13">
      <c r="A32" s="63" t="s">
        <v>190</v>
      </c>
      <c r="B32" s="63" t="s">
        <v>191</v>
      </c>
      <c r="C32" s="63" t="s">
        <v>1227</v>
      </c>
      <c r="D32" s="63" t="str">
        <f>"0,6934"</f>
        <v>0,6934</v>
      </c>
      <c r="E32" s="63" t="s">
        <v>17</v>
      </c>
      <c r="F32" s="63" t="s">
        <v>193</v>
      </c>
      <c r="G32" s="63" t="s">
        <v>211</v>
      </c>
      <c r="H32" s="63" t="s">
        <v>36</v>
      </c>
      <c r="I32" s="64"/>
      <c r="J32" s="64"/>
      <c r="K32" s="63">
        <v>240</v>
      </c>
      <c r="L32" s="63" t="str">
        <f>"166,4040"</f>
        <v>166,4040</v>
      </c>
      <c r="M32" s="63" t="s">
        <v>196</v>
      </c>
    </row>
    <row r="33" spans="1:13">
      <c r="A33" s="63" t="s">
        <v>1863</v>
      </c>
      <c r="B33" s="63" t="s">
        <v>1864</v>
      </c>
      <c r="C33" s="63" t="s">
        <v>1865</v>
      </c>
      <c r="D33" s="63" t="str">
        <f>"0,7329"</f>
        <v>0,7329</v>
      </c>
      <c r="E33" s="63" t="s">
        <v>17</v>
      </c>
      <c r="F33" s="63" t="s">
        <v>1442</v>
      </c>
      <c r="G33" s="64" t="s">
        <v>43</v>
      </c>
      <c r="H33" s="64" t="s">
        <v>43</v>
      </c>
      <c r="I33" s="64" t="s">
        <v>43</v>
      </c>
      <c r="J33" s="64"/>
      <c r="K33" s="63">
        <v>0</v>
      </c>
      <c r="L33" s="63" t="str">
        <f>"0,0000"</f>
        <v>0,0000</v>
      </c>
      <c r="M33" s="63"/>
    </row>
    <row r="34" spans="1:13">
      <c r="A34" s="61" t="s">
        <v>1866</v>
      </c>
      <c r="B34" s="61" t="s">
        <v>1867</v>
      </c>
      <c r="C34" s="61" t="s">
        <v>1868</v>
      </c>
      <c r="D34" s="61" t="str">
        <f>"0,8026"</f>
        <v>0,8026</v>
      </c>
      <c r="E34" s="61" t="s">
        <v>17</v>
      </c>
      <c r="F34" s="61" t="s">
        <v>1314</v>
      </c>
      <c r="G34" s="61" t="s">
        <v>19</v>
      </c>
      <c r="H34" s="61" t="s">
        <v>883</v>
      </c>
      <c r="I34" s="61" t="s">
        <v>33</v>
      </c>
      <c r="J34" s="62"/>
      <c r="K34" s="61">
        <v>150</v>
      </c>
      <c r="L34" s="61" t="str">
        <f>"120,3920"</f>
        <v>120,3920</v>
      </c>
      <c r="M34" s="61"/>
    </row>
    <row r="36" spans="1:13" ht="15">
      <c r="A36" s="58" t="s">
        <v>13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3">
      <c r="A37" s="59" t="s">
        <v>1494</v>
      </c>
      <c r="B37" s="59" t="s">
        <v>1495</v>
      </c>
      <c r="C37" s="59" t="s">
        <v>16</v>
      </c>
      <c r="D37" s="59" t="str">
        <f>"0,6446"</f>
        <v>0,6446</v>
      </c>
      <c r="E37" s="59" t="s">
        <v>17</v>
      </c>
      <c r="F37" s="59" t="s">
        <v>1404</v>
      </c>
      <c r="G37" s="60" t="s">
        <v>31</v>
      </c>
      <c r="H37" s="59" t="s">
        <v>31</v>
      </c>
      <c r="I37" s="59" t="s">
        <v>211</v>
      </c>
      <c r="J37" s="60"/>
      <c r="K37" s="59">
        <v>225</v>
      </c>
      <c r="L37" s="59" t="str">
        <f>"145,0350"</f>
        <v>145,0350</v>
      </c>
      <c r="M37" s="59"/>
    </row>
    <row r="38" spans="1:13">
      <c r="A38" s="63" t="s">
        <v>1869</v>
      </c>
      <c r="B38" s="63" t="s">
        <v>1870</v>
      </c>
      <c r="C38" s="63" t="s">
        <v>1505</v>
      </c>
      <c r="D38" s="63" t="str">
        <f>"0,6561"</f>
        <v>0,6561</v>
      </c>
      <c r="E38" s="63" t="s">
        <v>17</v>
      </c>
      <c r="F38" s="63" t="s">
        <v>29</v>
      </c>
      <c r="G38" s="63" t="s">
        <v>43</v>
      </c>
      <c r="H38" s="64" t="s">
        <v>21</v>
      </c>
      <c r="I38" s="64" t="s">
        <v>21</v>
      </c>
      <c r="J38" s="64"/>
      <c r="K38" s="63">
        <v>170</v>
      </c>
      <c r="L38" s="63" t="str">
        <f>"111,5455"</f>
        <v>111,5455</v>
      </c>
      <c r="M38" s="63" t="s">
        <v>374</v>
      </c>
    </row>
    <row r="39" spans="1:13">
      <c r="A39" s="63" t="s">
        <v>1871</v>
      </c>
      <c r="B39" s="63" t="s">
        <v>1872</v>
      </c>
      <c r="C39" s="63" t="s">
        <v>512</v>
      </c>
      <c r="D39" s="63" t="str">
        <f>"0,6627"</f>
        <v>0,6627</v>
      </c>
      <c r="E39" s="63" t="s">
        <v>17</v>
      </c>
      <c r="F39" s="63" t="s">
        <v>1862</v>
      </c>
      <c r="G39" s="63" t="s">
        <v>19</v>
      </c>
      <c r="H39" s="64" t="s">
        <v>33</v>
      </c>
      <c r="I39" s="64" t="s">
        <v>20</v>
      </c>
      <c r="J39" s="64"/>
      <c r="K39" s="63">
        <v>145</v>
      </c>
      <c r="L39" s="63" t="str">
        <f>"96,0980"</f>
        <v>96,0980</v>
      </c>
      <c r="M39" s="63"/>
    </row>
    <row r="40" spans="1:13">
      <c r="A40" s="61" t="s">
        <v>1500</v>
      </c>
      <c r="B40" s="61" t="s">
        <v>1501</v>
      </c>
      <c r="C40" s="61" t="s">
        <v>1499</v>
      </c>
      <c r="D40" s="61" t="str">
        <f>"0,8503"</f>
        <v>0,8503</v>
      </c>
      <c r="E40" s="61" t="s">
        <v>269</v>
      </c>
      <c r="F40" s="61" t="s">
        <v>164</v>
      </c>
      <c r="G40" s="61" t="s">
        <v>149</v>
      </c>
      <c r="H40" s="61" t="s">
        <v>173</v>
      </c>
      <c r="I40" s="62"/>
      <c r="J40" s="62"/>
      <c r="K40" s="61">
        <v>130</v>
      </c>
      <c r="L40" s="61" t="str">
        <f>"110,5417"</f>
        <v>110,5417</v>
      </c>
      <c r="M40" s="61"/>
    </row>
    <row r="42" spans="1:13" ht="15">
      <c r="A42" s="58" t="s">
        <v>25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3">
      <c r="A43" s="59" t="s">
        <v>1873</v>
      </c>
      <c r="B43" s="59" t="s">
        <v>1874</v>
      </c>
      <c r="C43" s="59" t="s">
        <v>39</v>
      </c>
      <c r="D43" s="59" t="str">
        <f>"0,6119"</f>
        <v>0,6119</v>
      </c>
      <c r="E43" s="59" t="s">
        <v>120</v>
      </c>
      <c r="F43" s="59" t="s">
        <v>29</v>
      </c>
      <c r="G43" s="59" t="s">
        <v>31</v>
      </c>
      <c r="H43" s="59" t="s">
        <v>52</v>
      </c>
      <c r="I43" s="60" t="s">
        <v>1875</v>
      </c>
      <c r="J43" s="60"/>
      <c r="K43" s="59">
        <v>230</v>
      </c>
      <c r="L43" s="59" t="str">
        <f>"140,7255"</f>
        <v>140,7255</v>
      </c>
      <c r="M43" s="59"/>
    </row>
    <row r="44" spans="1:13">
      <c r="A44" s="63" t="s">
        <v>1876</v>
      </c>
      <c r="B44" s="63" t="s">
        <v>1877</v>
      </c>
      <c r="C44" s="63" t="s">
        <v>546</v>
      </c>
      <c r="D44" s="63" t="str">
        <f>"0,6948"</f>
        <v>0,6948</v>
      </c>
      <c r="E44" s="63" t="s">
        <v>17</v>
      </c>
      <c r="F44" s="63" t="s">
        <v>392</v>
      </c>
      <c r="G44" s="64" t="s">
        <v>20</v>
      </c>
      <c r="H44" s="63" t="s">
        <v>20</v>
      </c>
      <c r="I44" s="64" t="s">
        <v>21</v>
      </c>
      <c r="J44" s="64"/>
      <c r="K44" s="63">
        <v>160</v>
      </c>
      <c r="L44" s="63" t="str">
        <f>"111,1739"</f>
        <v>111,1739</v>
      </c>
      <c r="M44" s="63"/>
    </row>
    <row r="45" spans="1:13">
      <c r="A45" s="61" t="s">
        <v>1878</v>
      </c>
      <c r="B45" s="61" t="s">
        <v>1879</v>
      </c>
      <c r="C45" s="61" t="s">
        <v>905</v>
      </c>
      <c r="D45" s="61" t="str">
        <f>"0,7838"</f>
        <v>0,7838</v>
      </c>
      <c r="E45" s="61" t="s">
        <v>17</v>
      </c>
      <c r="F45" s="61" t="s">
        <v>1880</v>
      </c>
      <c r="G45" s="61" t="s">
        <v>21</v>
      </c>
      <c r="H45" s="61" t="s">
        <v>254</v>
      </c>
      <c r="I45" s="62" t="s">
        <v>831</v>
      </c>
      <c r="J45" s="62"/>
      <c r="K45" s="61">
        <v>192.5</v>
      </c>
      <c r="L45" s="61" t="str">
        <f>"150,8720"</f>
        <v>150,8720</v>
      </c>
      <c r="M45" s="61"/>
    </row>
    <row r="47" spans="1:13" ht="15">
      <c r="A47" s="58" t="s">
        <v>47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3">
      <c r="A48" s="59" t="s">
        <v>1881</v>
      </c>
      <c r="B48" s="59" t="s">
        <v>1882</v>
      </c>
      <c r="C48" s="59" t="s">
        <v>1883</v>
      </c>
      <c r="D48" s="59" t="str">
        <f>"0,5987"</f>
        <v>0,5987</v>
      </c>
      <c r="E48" s="59" t="s">
        <v>17</v>
      </c>
      <c r="F48" s="59" t="s">
        <v>1109</v>
      </c>
      <c r="G48" s="59" t="s">
        <v>34</v>
      </c>
      <c r="H48" s="59" t="s">
        <v>43</v>
      </c>
      <c r="I48" s="60" t="s">
        <v>21</v>
      </c>
      <c r="J48" s="60"/>
      <c r="K48" s="59">
        <v>170</v>
      </c>
      <c r="L48" s="59" t="str">
        <f>"101,7790"</f>
        <v>101,7790</v>
      </c>
      <c r="M48" s="59"/>
    </row>
    <row r="49" spans="1:13">
      <c r="A49" s="63" t="s">
        <v>1884</v>
      </c>
      <c r="B49" s="63" t="s">
        <v>1885</v>
      </c>
      <c r="C49" s="63" t="s">
        <v>1886</v>
      </c>
      <c r="D49" s="63" t="str">
        <f>"0,5870"</f>
        <v>0,5870</v>
      </c>
      <c r="E49" s="63" t="s">
        <v>17</v>
      </c>
      <c r="F49" s="63" t="s">
        <v>153</v>
      </c>
      <c r="G49" s="63" t="s">
        <v>21</v>
      </c>
      <c r="H49" s="63" t="s">
        <v>83</v>
      </c>
      <c r="I49" s="64" t="s">
        <v>44</v>
      </c>
      <c r="J49" s="64"/>
      <c r="K49" s="63">
        <v>190</v>
      </c>
      <c r="L49" s="63" t="str">
        <f>"111,5205"</f>
        <v>111,5205</v>
      </c>
      <c r="M49" s="63" t="s">
        <v>1129</v>
      </c>
    </row>
    <row r="50" spans="1:13">
      <c r="A50" s="61" t="s">
        <v>1887</v>
      </c>
      <c r="B50" s="61" t="s">
        <v>1888</v>
      </c>
      <c r="C50" s="61" t="s">
        <v>233</v>
      </c>
      <c r="D50" s="61" t="str">
        <f>"0,7026"</f>
        <v>0,7026</v>
      </c>
      <c r="E50" s="61" t="s">
        <v>17</v>
      </c>
      <c r="F50" s="61" t="s">
        <v>1314</v>
      </c>
      <c r="G50" s="61" t="s">
        <v>43</v>
      </c>
      <c r="H50" s="61" t="s">
        <v>625</v>
      </c>
      <c r="I50" s="62" t="s">
        <v>379</v>
      </c>
      <c r="J50" s="62"/>
      <c r="K50" s="61">
        <v>177.5</v>
      </c>
      <c r="L50" s="61" t="str">
        <f>"124,7105"</f>
        <v>124,7105</v>
      </c>
      <c r="M50" s="61"/>
    </row>
    <row r="52" spans="1:13" ht="15">
      <c r="A52" s="58" t="s">
        <v>68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3">
      <c r="A53" s="59" t="s">
        <v>1889</v>
      </c>
      <c r="B53" s="59" t="s">
        <v>1890</v>
      </c>
      <c r="C53" s="59" t="s">
        <v>1891</v>
      </c>
      <c r="D53" s="59" t="str">
        <f>"0,5659"</f>
        <v>0,5659</v>
      </c>
      <c r="E53" s="59" t="s">
        <v>17</v>
      </c>
      <c r="F53" s="59" t="s">
        <v>72</v>
      </c>
      <c r="G53" s="59" t="s">
        <v>986</v>
      </c>
      <c r="H53" s="59" t="s">
        <v>752</v>
      </c>
      <c r="I53" s="59" t="s">
        <v>56</v>
      </c>
      <c r="J53" s="59" t="s">
        <v>1892</v>
      </c>
      <c r="K53" s="59">
        <v>280</v>
      </c>
      <c r="L53" s="59" t="str">
        <f>"158,4660"</f>
        <v>158,4660</v>
      </c>
      <c r="M53" s="59"/>
    </row>
    <row r="54" spans="1:13">
      <c r="A54" s="63" t="s">
        <v>250</v>
      </c>
      <c r="B54" s="63" t="s">
        <v>251</v>
      </c>
      <c r="C54" s="63" t="s">
        <v>715</v>
      </c>
      <c r="D54" s="63" t="str">
        <f>"0,5647"</f>
        <v>0,5647</v>
      </c>
      <c r="E54" s="63" t="s">
        <v>269</v>
      </c>
      <c r="F54" s="63" t="s">
        <v>164</v>
      </c>
      <c r="G54" s="64" t="s">
        <v>66</v>
      </c>
      <c r="H54" s="64" t="s">
        <v>236</v>
      </c>
      <c r="I54" s="64" t="s">
        <v>236</v>
      </c>
      <c r="J54" s="64"/>
      <c r="K54" s="63">
        <v>0</v>
      </c>
      <c r="L54" s="63" t="str">
        <f>"0,0000"</f>
        <v>0,0000</v>
      </c>
      <c r="M54" s="63"/>
    </row>
    <row r="55" spans="1:13">
      <c r="A55" s="63" t="s">
        <v>1893</v>
      </c>
      <c r="B55" s="63" t="s">
        <v>1894</v>
      </c>
      <c r="C55" s="63" t="s">
        <v>1895</v>
      </c>
      <c r="D55" s="63" t="str">
        <f>"0,5627"</f>
        <v>0,5627</v>
      </c>
      <c r="E55" s="63" t="s">
        <v>17</v>
      </c>
      <c r="F55" s="63" t="s">
        <v>153</v>
      </c>
      <c r="G55" s="64" t="s">
        <v>54</v>
      </c>
      <c r="H55" s="64" t="s">
        <v>54</v>
      </c>
      <c r="I55" s="64" t="s">
        <v>54</v>
      </c>
      <c r="J55" s="64"/>
      <c r="K55" s="63">
        <v>0</v>
      </c>
      <c r="L55" s="63" t="str">
        <f>"0,0000"</f>
        <v>0,0000</v>
      </c>
      <c r="M55" s="63"/>
    </row>
    <row r="56" spans="1:13">
      <c r="A56" s="63" t="s">
        <v>1889</v>
      </c>
      <c r="B56" s="63" t="s">
        <v>1896</v>
      </c>
      <c r="C56" s="63" t="s">
        <v>1891</v>
      </c>
      <c r="D56" s="63" t="str">
        <f>"0,5659"</f>
        <v>0,5659</v>
      </c>
      <c r="E56" s="63" t="s">
        <v>17</v>
      </c>
      <c r="F56" s="63" t="s">
        <v>72</v>
      </c>
      <c r="G56" s="63" t="s">
        <v>986</v>
      </c>
      <c r="H56" s="63" t="s">
        <v>752</v>
      </c>
      <c r="I56" s="63" t="s">
        <v>56</v>
      </c>
      <c r="J56" s="63" t="s">
        <v>1892</v>
      </c>
      <c r="K56" s="63">
        <v>280</v>
      </c>
      <c r="L56" s="63" t="str">
        <f>"158,4660"</f>
        <v>158,4660</v>
      </c>
      <c r="M56" s="63"/>
    </row>
    <row r="57" spans="1:13">
      <c r="A57" s="61" t="s">
        <v>1634</v>
      </c>
      <c r="B57" s="61" t="s">
        <v>1635</v>
      </c>
      <c r="C57" s="61" t="s">
        <v>1622</v>
      </c>
      <c r="D57" s="61" t="str">
        <f>"0,5681"</f>
        <v>0,5681</v>
      </c>
      <c r="E57" s="61" t="s">
        <v>17</v>
      </c>
      <c r="F57" s="61" t="s">
        <v>72</v>
      </c>
      <c r="G57" s="61" t="s">
        <v>21</v>
      </c>
      <c r="H57" s="61" t="s">
        <v>83</v>
      </c>
      <c r="I57" s="61" t="s">
        <v>580</v>
      </c>
      <c r="J57" s="62"/>
      <c r="K57" s="61">
        <v>197.5</v>
      </c>
      <c r="L57" s="61" t="str">
        <f>"112,1997"</f>
        <v>112,1997</v>
      </c>
      <c r="M57" s="61"/>
    </row>
    <row r="59" spans="1:13" ht="15">
      <c r="A59" s="58" t="s">
        <v>271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3">
      <c r="A60" s="59" t="s">
        <v>272</v>
      </c>
      <c r="B60" s="59" t="s">
        <v>273</v>
      </c>
      <c r="C60" s="59" t="s">
        <v>1897</v>
      </c>
      <c r="D60" s="59" t="str">
        <f>"0,5609"</f>
        <v>0,5609</v>
      </c>
      <c r="E60" s="59" t="s">
        <v>269</v>
      </c>
      <c r="F60" s="59" t="s">
        <v>164</v>
      </c>
      <c r="G60" s="59" t="s">
        <v>83</v>
      </c>
      <c r="H60" s="60" t="s">
        <v>186</v>
      </c>
      <c r="I60" s="59" t="s">
        <v>295</v>
      </c>
      <c r="J60" s="60"/>
      <c r="K60" s="59">
        <v>217.5</v>
      </c>
      <c r="L60" s="59" t="str">
        <f>"122,0066"</f>
        <v>122,0066</v>
      </c>
      <c r="M60" s="59"/>
    </row>
    <row r="61" spans="1:13">
      <c r="A61" s="63" t="s">
        <v>1898</v>
      </c>
      <c r="B61" s="63" t="s">
        <v>1899</v>
      </c>
      <c r="C61" s="63" t="s">
        <v>1900</v>
      </c>
      <c r="D61" s="63" t="str">
        <f>"0,5546"</f>
        <v>0,5546</v>
      </c>
      <c r="E61" s="63" t="s">
        <v>17</v>
      </c>
      <c r="F61" s="63" t="s">
        <v>1880</v>
      </c>
      <c r="G61" s="63" t="s">
        <v>61</v>
      </c>
      <c r="H61" s="63" t="s">
        <v>31</v>
      </c>
      <c r="I61" s="64" t="s">
        <v>1901</v>
      </c>
      <c r="J61" s="64"/>
      <c r="K61" s="63">
        <v>220</v>
      </c>
      <c r="L61" s="63" t="str">
        <f>"122,0120"</f>
        <v>122,0120</v>
      </c>
      <c r="M61" s="63"/>
    </row>
    <row r="62" spans="1:13">
      <c r="A62" s="63" t="s">
        <v>1180</v>
      </c>
      <c r="B62" s="63" t="s">
        <v>1181</v>
      </c>
      <c r="C62" s="63" t="s">
        <v>719</v>
      </c>
      <c r="D62" s="63" t="str">
        <f>"0,5612"</f>
        <v>0,5612</v>
      </c>
      <c r="E62" s="63" t="s">
        <v>81</v>
      </c>
      <c r="F62" s="63" t="s">
        <v>82</v>
      </c>
      <c r="G62" s="63" t="s">
        <v>67</v>
      </c>
      <c r="H62" s="63" t="s">
        <v>188</v>
      </c>
      <c r="I62" s="63" t="s">
        <v>831</v>
      </c>
      <c r="J62" s="64"/>
      <c r="K62" s="63">
        <v>202.5</v>
      </c>
      <c r="L62" s="63" t="str">
        <f>"113,6430"</f>
        <v>113,6430</v>
      </c>
      <c r="M62" s="63"/>
    </row>
    <row r="63" spans="1:13">
      <c r="A63" s="63" t="s">
        <v>1681</v>
      </c>
      <c r="B63" s="63" t="s">
        <v>1902</v>
      </c>
      <c r="C63" s="63" t="s">
        <v>1903</v>
      </c>
      <c r="D63" s="63" t="str">
        <f>"0,5487"</f>
        <v>0,5487</v>
      </c>
      <c r="E63" s="63" t="s">
        <v>17</v>
      </c>
      <c r="F63" s="63" t="s">
        <v>1353</v>
      </c>
      <c r="G63" s="64" t="s">
        <v>67</v>
      </c>
      <c r="H63" s="63" t="s">
        <v>67</v>
      </c>
      <c r="I63" s="64" t="s">
        <v>188</v>
      </c>
      <c r="J63" s="64"/>
      <c r="K63" s="63">
        <v>185</v>
      </c>
      <c r="L63" s="63" t="str">
        <f>"101,5003"</f>
        <v>101,5003</v>
      </c>
      <c r="M63" s="63" t="s">
        <v>1333</v>
      </c>
    </row>
    <row r="64" spans="1:13">
      <c r="A64" s="63" t="s">
        <v>1904</v>
      </c>
      <c r="B64" s="63" t="s">
        <v>1905</v>
      </c>
      <c r="C64" s="63" t="s">
        <v>1906</v>
      </c>
      <c r="D64" s="63" t="str">
        <f>"0,5587"</f>
        <v>0,5587</v>
      </c>
      <c r="E64" s="63" t="s">
        <v>17</v>
      </c>
      <c r="F64" s="63" t="s">
        <v>29</v>
      </c>
      <c r="G64" s="63" t="s">
        <v>52</v>
      </c>
      <c r="H64" s="63" t="s">
        <v>181</v>
      </c>
      <c r="I64" s="63" t="s">
        <v>720</v>
      </c>
      <c r="J64" s="64" t="s">
        <v>207</v>
      </c>
      <c r="K64" s="63">
        <v>252.5</v>
      </c>
      <c r="L64" s="63" t="str">
        <f>"141,0730"</f>
        <v>141,0730</v>
      </c>
      <c r="M64" s="63" t="s">
        <v>374</v>
      </c>
    </row>
    <row r="65" spans="1:13">
      <c r="A65" s="63" t="s">
        <v>1898</v>
      </c>
      <c r="B65" s="63" t="s">
        <v>1907</v>
      </c>
      <c r="C65" s="63" t="s">
        <v>1900</v>
      </c>
      <c r="D65" s="63" t="str">
        <f>"0,5657"</f>
        <v>0,5657</v>
      </c>
      <c r="E65" s="63" t="s">
        <v>17</v>
      </c>
      <c r="F65" s="63" t="s">
        <v>1880</v>
      </c>
      <c r="G65" s="63" t="s">
        <v>61</v>
      </c>
      <c r="H65" s="63" t="s">
        <v>31</v>
      </c>
      <c r="I65" s="64" t="s">
        <v>1901</v>
      </c>
      <c r="J65" s="64"/>
      <c r="K65" s="63">
        <v>220</v>
      </c>
      <c r="L65" s="63" t="str">
        <f>"124,4522"</f>
        <v>124,4522</v>
      </c>
      <c r="M65" s="63"/>
    </row>
    <row r="66" spans="1:13">
      <c r="A66" s="61" t="s">
        <v>1681</v>
      </c>
      <c r="B66" s="61" t="s">
        <v>1682</v>
      </c>
      <c r="C66" s="61" t="s">
        <v>1903</v>
      </c>
      <c r="D66" s="61" t="str">
        <f>"0,7352"</f>
        <v>0,7352</v>
      </c>
      <c r="E66" s="61" t="s">
        <v>17</v>
      </c>
      <c r="F66" s="61" t="s">
        <v>1353</v>
      </c>
      <c r="G66" s="62" t="s">
        <v>67</v>
      </c>
      <c r="H66" s="61" t="s">
        <v>67</v>
      </c>
      <c r="I66" s="62" t="s">
        <v>188</v>
      </c>
      <c r="J66" s="62"/>
      <c r="K66" s="61">
        <v>185</v>
      </c>
      <c r="L66" s="61" t="str">
        <f>"136,0103"</f>
        <v>136,0103</v>
      </c>
      <c r="M66" s="61" t="s">
        <v>1333</v>
      </c>
    </row>
    <row r="68" spans="1:13" ht="15">
      <c r="A68" s="58" t="s">
        <v>617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3">
      <c r="A69" s="59" t="s">
        <v>1908</v>
      </c>
      <c r="B69" s="59" t="s">
        <v>1909</v>
      </c>
      <c r="C69" s="59" t="s">
        <v>1910</v>
      </c>
      <c r="D69" s="59" t="str">
        <f>"0,5433"</f>
        <v>0,5433</v>
      </c>
      <c r="E69" s="59" t="s">
        <v>17</v>
      </c>
      <c r="F69" s="59" t="s">
        <v>923</v>
      </c>
      <c r="G69" s="59" t="s">
        <v>61</v>
      </c>
      <c r="H69" s="59" t="s">
        <v>848</v>
      </c>
      <c r="I69" s="59" t="s">
        <v>52</v>
      </c>
      <c r="J69" s="60"/>
      <c r="K69" s="59">
        <v>230</v>
      </c>
      <c r="L69" s="59" t="str">
        <f>"124,9498"</f>
        <v>124,9498</v>
      </c>
      <c r="M69" s="59"/>
    </row>
    <row r="70" spans="1:13">
      <c r="A70" s="61" t="s">
        <v>1908</v>
      </c>
      <c r="B70" s="61" t="s">
        <v>1911</v>
      </c>
      <c r="C70" s="61" t="s">
        <v>1910</v>
      </c>
      <c r="D70" s="61" t="str">
        <f>"0,5802"</f>
        <v>0,5802</v>
      </c>
      <c r="E70" s="61" t="s">
        <v>17</v>
      </c>
      <c r="F70" s="61" t="s">
        <v>923</v>
      </c>
      <c r="G70" s="61" t="s">
        <v>61</v>
      </c>
      <c r="H70" s="61" t="s">
        <v>848</v>
      </c>
      <c r="I70" s="61" t="s">
        <v>52</v>
      </c>
      <c r="J70" s="62"/>
      <c r="K70" s="61">
        <v>230</v>
      </c>
      <c r="L70" s="61" t="str">
        <f>"133,4464"</f>
        <v>133,4464</v>
      </c>
      <c r="M70" s="61"/>
    </row>
    <row r="72" spans="1:13" ht="15">
      <c r="E72" s="65" t="s">
        <v>84</v>
      </c>
    </row>
    <row r="73" spans="1:13" ht="15">
      <c r="E73" s="65" t="s">
        <v>85</v>
      </c>
    </row>
    <row r="74" spans="1:13" ht="15">
      <c r="E74" s="65" t="s">
        <v>86</v>
      </c>
    </row>
    <row r="75" spans="1:13">
      <c r="E75" s="55" t="s">
        <v>87</v>
      </c>
    </row>
    <row r="76" spans="1:13">
      <c r="E76" s="55" t="s">
        <v>88</v>
      </c>
    </row>
    <row r="77" spans="1:13">
      <c r="E77" s="55" t="s">
        <v>89</v>
      </c>
    </row>
    <row r="80" spans="1:13" ht="18">
      <c r="A80" s="66" t="s">
        <v>90</v>
      </c>
      <c r="B80" s="66"/>
    </row>
    <row r="81" spans="1:5" ht="15">
      <c r="A81" s="67" t="s">
        <v>284</v>
      </c>
      <c r="B81" s="67"/>
    </row>
    <row r="82" spans="1:5" ht="14.25">
      <c r="A82" s="69" t="s">
        <v>285</v>
      </c>
      <c r="B82" s="70"/>
    </row>
    <row r="83" spans="1:5" ht="15">
      <c r="A83" s="71" t="s">
        <v>0</v>
      </c>
      <c r="B83" s="71" t="s">
        <v>93</v>
      </c>
      <c r="C83" s="71" t="s">
        <v>94</v>
      </c>
      <c r="D83" s="71" t="s">
        <v>7</v>
      </c>
      <c r="E83" s="71" t="s">
        <v>95</v>
      </c>
    </row>
    <row r="84" spans="1:5">
      <c r="A84" s="68" t="s">
        <v>1848</v>
      </c>
      <c r="B84" s="55" t="s">
        <v>286</v>
      </c>
      <c r="C84" s="55" t="s">
        <v>289</v>
      </c>
      <c r="D84" s="55" t="s">
        <v>359</v>
      </c>
      <c r="E84" s="72" t="s">
        <v>1912</v>
      </c>
    </row>
    <row r="85" spans="1:5">
      <c r="A85" s="68" t="s">
        <v>1840</v>
      </c>
      <c r="B85" s="55" t="s">
        <v>302</v>
      </c>
      <c r="C85" s="55" t="s">
        <v>626</v>
      </c>
      <c r="D85" s="55" t="s">
        <v>141</v>
      </c>
      <c r="E85" s="72" t="s">
        <v>1913</v>
      </c>
    </row>
    <row r="87" spans="1:5" ht="14.25">
      <c r="A87" s="69" t="s">
        <v>100</v>
      </c>
      <c r="B87" s="70"/>
    </row>
    <row r="88" spans="1:5" ht="15">
      <c r="A88" s="71" t="s">
        <v>0</v>
      </c>
      <c r="B88" s="71" t="s">
        <v>93</v>
      </c>
      <c r="C88" s="71" t="s">
        <v>94</v>
      </c>
      <c r="D88" s="71" t="s">
        <v>7</v>
      </c>
      <c r="E88" s="71" t="s">
        <v>95</v>
      </c>
    </row>
    <row r="89" spans="1:5">
      <c r="A89" s="68" t="s">
        <v>1330</v>
      </c>
      <c r="B89" s="55" t="s">
        <v>100</v>
      </c>
      <c r="C89" s="55" t="s">
        <v>293</v>
      </c>
      <c r="D89" s="55" t="s">
        <v>173</v>
      </c>
      <c r="E89" s="72" t="s">
        <v>1914</v>
      </c>
    </row>
    <row r="90" spans="1:5">
      <c r="A90" s="68" t="s">
        <v>1848</v>
      </c>
      <c r="B90" s="55" t="s">
        <v>100</v>
      </c>
      <c r="C90" s="55" t="s">
        <v>289</v>
      </c>
      <c r="D90" s="55" t="s">
        <v>359</v>
      </c>
      <c r="E90" s="72" t="s">
        <v>1912</v>
      </c>
    </row>
    <row r="91" spans="1:5">
      <c r="A91" s="68" t="s">
        <v>1843</v>
      </c>
      <c r="B91" s="55" t="s">
        <v>100</v>
      </c>
      <c r="C91" s="55" t="s">
        <v>411</v>
      </c>
      <c r="D91" s="55" t="s">
        <v>772</v>
      </c>
      <c r="E91" s="72" t="s">
        <v>1915</v>
      </c>
    </row>
    <row r="92" spans="1:5">
      <c r="A92" s="68" t="s">
        <v>1855</v>
      </c>
      <c r="B92" s="55" t="s">
        <v>100</v>
      </c>
      <c r="C92" s="55" t="s">
        <v>293</v>
      </c>
      <c r="D92" s="55" t="s">
        <v>170</v>
      </c>
      <c r="E92" s="72" t="s">
        <v>1916</v>
      </c>
    </row>
    <row r="93" spans="1:5">
      <c r="A93" s="68" t="s">
        <v>1122</v>
      </c>
      <c r="B93" s="55" t="s">
        <v>100</v>
      </c>
      <c r="C93" s="55" t="s">
        <v>411</v>
      </c>
      <c r="D93" s="55" t="s">
        <v>1125</v>
      </c>
      <c r="E93" s="72" t="s">
        <v>1917</v>
      </c>
    </row>
    <row r="94" spans="1:5">
      <c r="A94" s="68" t="s">
        <v>1126</v>
      </c>
      <c r="B94" s="55" t="s">
        <v>100</v>
      </c>
      <c r="C94" s="55" t="s">
        <v>411</v>
      </c>
      <c r="D94" s="55" t="s">
        <v>148</v>
      </c>
      <c r="E94" s="72" t="s">
        <v>1745</v>
      </c>
    </row>
    <row r="97" spans="1:5" ht="15">
      <c r="A97" s="67" t="s">
        <v>91</v>
      </c>
      <c r="B97" s="67"/>
    </row>
    <row r="98" spans="1:5" ht="14.25">
      <c r="A98" s="69" t="s">
        <v>92</v>
      </c>
      <c r="B98" s="70"/>
    </row>
    <row r="99" spans="1:5" ht="15">
      <c r="A99" s="71" t="s">
        <v>0</v>
      </c>
      <c r="B99" s="71" t="s">
        <v>93</v>
      </c>
      <c r="C99" s="71" t="s">
        <v>94</v>
      </c>
      <c r="D99" s="71" t="s">
        <v>7</v>
      </c>
      <c r="E99" s="71" t="s">
        <v>95</v>
      </c>
    </row>
    <row r="100" spans="1:5">
      <c r="A100" s="68" t="s">
        <v>272</v>
      </c>
      <c r="B100" s="55" t="s">
        <v>96</v>
      </c>
      <c r="C100" s="55" t="s">
        <v>304</v>
      </c>
      <c r="D100" s="55" t="s">
        <v>295</v>
      </c>
      <c r="E100" s="72" t="s">
        <v>1918</v>
      </c>
    </row>
    <row r="101" spans="1:5">
      <c r="A101" s="68" t="s">
        <v>1881</v>
      </c>
      <c r="B101" s="55" t="s">
        <v>96</v>
      </c>
      <c r="C101" s="55" t="s">
        <v>104</v>
      </c>
      <c r="D101" s="55" t="s">
        <v>43</v>
      </c>
      <c r="E101" s="72" t="s">
        <v>1919</v>
      </c>
    </row>
    <row r="103" spans="1:5" ht="14.25">
      <c r="A103" s="69" t="s">
        <v>100</v>
      </c>
      <c r="B103" s="70"/>
    </row>
    <row r="104" spans="1:5" ht="15">
      <c r="A104" s="71" t="s">
        <v>0</v>
      </c>
      <c r="B104" s="71" t="s">
        <v>93</v>
      </c>
      <c r="C104" s="71" t="s">
        <v>94</v>
      </c>
      <c r="D104" s="71" t="s">
        <v>7</v>
      </c>
      <c r="E104" s="71" t="s">
        <v>95</v>
      </c>
    </row>
    <row r="105" spans="1:5">
      <c r="A105" s="68" t="s">
        <v>190</v>
      </c>
      <c r="B105" s="55" t="s">
        <v>100</v>
      </c>
      <c r="C105" s="55" t="s">
        <v>310</v>
      </c>
      <c r="D105" s="55" t="s">
        <v>36</v>
      </c>
      <c r="E105" s="72" t="s">
        <v>1920</v>
      </c>
    </row>
    <row r="106" spans="1:5">
      <c r="A106" s="68" t="s">
        <v>1889</v>
      </c>
      <c r="B106" s="55" t="s">
        <v>100</v>
      </c>
      <c r="C106" s="55" t="s">
        <v>101</v>
      </c>
      <c r="D106" s="55" t="s">
        <v>56</v>
      </c>
      <c r="E106" s="72" t="s">
        <v>1921</v>
      </c>
    </row>
    <row r="107" spans="1:5">
      <c r="A107" s="68" t="s">
        <v>1494</v>
      </c>
      <c r="B107" s="55" t="s">
        <v>100</v>
      </c>
      <c r="C107" s="55" t="s">
        <v>97</v>
      </c>
      <c r="D107" s="55" t="s">
        <v>211</v>
      </c>
      <c r="E107" s="72" t="s">
        <v>1922</v>
      </c>
    </row>
    <row r="108" spans="1:5">
      <c r="A108" s="68" t="s">
        <v>1873</v>
      </c>
      <c r="B108" s="55" t="s">
        <v>100</v>
      </c>
      <c r="C108" s="55" t="s">
        <v>111</v>
      </c>
      <c r="D108" s="55" t="s">
        <v>52</v>
      </c>
      <c r="E108" s="72" t="s">
        <v>1923</v>
      </c>
    </row>
    <row r="109" spans="1:5">
      <c r="A109" s="68" t="s">
        <v>1908</v>
      </c>
      <c r="B109" s="55" t="s">
        <v>100</v>
      </c>
      <c r="C109" s="55" t="s">
        <v>654</v>
      </c>
      <c r="D109" s="55" t="s">
        <v>52</v>
      </c>
      <c r="E109" s="72" t="s">
        <v>1924</v>
      </c>
    </row>
    <row r="110" spans="1:5">
      <c r="A110" s="68" t="s">
        <v>1898</v>
      </c>
      <c r="B110" s="55" t="s">
        <v>100</v>
      </c>
      <c r="C110" s="55" t="s">
        <v>304</v>
      </c>
      <c r="D110" s="55" t="s">
        <v>31</v>
      </c>
      <c r="E110" s="72" t="s">
        <v>1925</v>
      </c>
    </row>
    <row r="111" spans="1:5">
      <c r="A111" s="68" t="s">
        <v>1180</v>
      </c>
      <c r="B111" s="55" t="s">
        <v>100</v>
      </c>
      <c r="C111" s="55" t="s">
        <v>304</v>
      </c>
      <c r="D111" s="55" t="s">
        <v>831</v>
      </c>
      <c r="E111" s="72" t="s">
        <v>1926</v>
      </c>
    </row>
    <row r="112" spans="1:5">
      <c r="A112" s="68" t="s">
        <v>1884</v>
      </c>
      <c r="B112" s="55" t="s">
        <v>100</v>
      </c>
      <c r="C112" s="55" t="s">
        <v>104</v>
      </c>
      <c r="D112" s="55" t="s">
        <v>83</v>
      </c>
      <c r="E112" s="72" t="s">
        <v>1927</v>
      </c>
    </row>
    <row r="113" spans="1:5">
      <c r="A113" s="68" t="s">
        <v>1859</v>
      </c>
      <c r="B113" s="55" t="s">
        <v>100</v>
      </c>
      <c r="C113" s="55" t="s">
        <v>293</v>
      </c>
      <c r="D113" s="55" t="s">
        <v>19</v>
      </c>
      <c r="E113" s="72" t="s">
        <v>1928</v>
      </c>
    </row>
    <row r="114" spans="1:5">
      <c r="A114" s="68" t="s">
        <v>1681</v>
      </c>
      <c r="B114" s="55" t="s">
        <v>100</v>
      </c>
      <c r="C114" s="55" t="s">
        <v>304</v>
      </c>
      <c r="D114" s="55" t="s">
        <v>67</v>
      </c>
      <c r="E114" s="72" t="s">
        <v>1929</v>
      </c>
    </row>
    <row r="115" spans="1:5">
      <c r="A115" s="68" t="s">
        <v>161</v>
      </c>
      <c r="B115" s="55" t="s">
        <v>100</v>
      </c>
      <c r="C115" s="55" t="s">
        <v>287</v>
      </c>
      <c r="D115" s="55" t="s">
        <v>465</v>
      </c>
      <c r="E115" s="72" t="s">
        <v>1930</v>
      </c>
    </row>
    <row r="117" spans="1:5" ht="14.25">
      <c r="A117" s="69" t="s">
        <v>297</v>
      </c>
      <c r="B117" s="70"/>
    </row>
    <row r="118" spans="1:5" ht="15">
      <c r="A118" s="71" t="s">
        <v>0</v>
      </c>
      <c r="B118" s="71" t="s">
        <v>93</v>
      </c>
      <c r="C118" s="71" t="s">
        <v>94</v>
      </c>
      <c r="D118" s="71" t="s">
        <v>7</v>
      </c>
      <c r="E118" s="71" t="s">
        <v>95</v>
      </c>
    </row>
    <row r="119" spans="1:5">
      <c r="A119" s="68" t="s">
        <v>1889</v>
      </c>
      <c r="B119" s="55" t="s">
        <v>343</v>
      </c>
      <c r="C119" s="55" t="s">
        <v>101</v>
      </c>
      <c r="D119" s="55" t="s">
        <v>56</v>
      </c>
      <c r="E119" s="72" t="s">
        <v>1921</v>
      </c>
    </row>
    <row r="120" spans="1:5">
      <c r="A120" s="68" t="s">
        <v>1878</v>
      </c>
      <c r="B120" s="55" t="s">
        <v>659</v>
      </c>
      <c r="C120" s="55" t="s">
        <v>111</v>
      </c>
      <c r="D120" s="55" t="s">
        <v>254</v>
      </c>
      <c r="E120" s="72" t="s">
        <v>1931</v>
      </c>
    </row>
    <row r="121" spans="1:5">
      <c r="A121" s="68" t="s">
        <v>1904</v>
      </c>
      <c r="B121" s="55" t="s">
        <v>343</v>
      </c>
      <c r="C121" s="55" t="s">
        <v>304</v>
      </c>
      <c r="D121" s="55" t="s">
        <v>720</v>
      </c>
      <c r="E121" s="72" t="s">
        <v>1932</v>
      </c>
    </row>
    <row r="122" spans="1:5">
      <c r="A122" s="68" t="s">
        <v>1681</v>
      </c>
      <c r="B122" s="55" t="s">
        <v>661</v>
      </c>
      <c r="C122" s="55" t="s">
        <v>304</v>
      </c>
      <c r="D122" s="55" t="s">
        <v>67</v>
      </c>
      <c r="E122" s="72" t="s">
        <v>1933</v>
      </c>
    </row>
    <row r="123" spans="1:5">
      <c r="A123" s="68" t="s">
        <v>1908</v>
      </c>
      <c r="B123" s="55" t="s">
        <v>298</v>
      </c>
      <c r="C123" s="55" t="s">
        <v>654</v>
      </c>
      <c r="D123" s="55" t="s">
        <v>52</v>
      </c>
      <c r="E123" s="72" t="s">
        <v>1934</v>
      </c>
    </row>
    <row r="124" spans="1:5">
      <c r="A124" s="68" t="s">
        <v>1887</v>
      </c>
      <c r="B124" s="55" t="s">
        <v>435</v>
      </c>
      <c r="C124" s="55" t="s">
        <v>104</v>
      </c>
      <c r="D124" s="55" t="s">
        <v>625</v>
      </c>
      <c r="E124" s="72" t="s">
        <v>1935</v>
      </c>
    </row>
    <row r="125" spans="1:5">
      <c r="A125" s="68" t="s">
        <v>1898</v>
      </c>
      <c r="B125" s="55" t="s">
        <v>343</v>
      </c>
      <c r="C125" s="55" t="s">
        <v>304</v>
      </c>
      <c r="D125" s="55" t="s">
        <v>31</v>
      </c>
      <c r="E125" s="72" t="s">
        <v>1936</v>
      </c>
    </row>
    <row r="126" spans="1:5">
      <c r="A126" s="68" t="s">
        <v>1866</v>
      </c>
      <c r="B126" s="55" t="s">
        <v>435</v>
      </c>
      <c r="C126" s="55" t="s">
        <v>310</v>
      </c>
      <c r="D126" s="55" t="s">
        <v>33</v>
      </c>
      <c r="E126" s="72" t="s">
        <v>1937</v>
      </c>
    </row>
    <row r="127" spans="1:5">
      <c r="A127" s="68" t="s">
        <v>1634</v>
      </c>
      <c r="B127" s="55" t="s">
        <v>343</v>
      </c>
      <c r="C127" s="55" t="s">
        <v>101</v>
      </c>
      <c r="D127" s="55" t="s">
        <v>580</v>
      </c>
      <c r="E127" s="72" t="s">
        <v>1938</v>
      </c>
    </row>
    <row r="128" spans="1:5">
      <c r="A128" s="68" t="s">
        <v>1869</v>
      </c>
      <c r="B128" s="55" t="s">
        <v>343</v>
      </c>
      <c r="C128" s="55" t="s">
        <v>97</v>
      </c>
      <c r="D128" s="55" t="s">
        <v>43</v>
      </c>
      <c r="E128" s="72" t="s">
        <v>1939</v>
      </c>
    </row>
    <row r="129" spans="1:5">
      <c r="A129" s="68" t="s">
        <v>1876</v>
      </c>
      <c r="B129" s="55" t="s">
        <v>435</v>
      </c>
      <c r="C129" s="55" t="s">
        <v>111</v>
      </c>
      <c r="D129" s="55" t="s">
        <v>20</v>
      </c>
      <c r="E129" s="72" t="s">
        <v>1940</v>
      </c>
    </row>
    <row r="130" spans="1:5">
      <c r="A130" s="68" t="s">
        <v>1500</v>
      </c>
      <c r="B130" s="55" t="s">
        <v>659</v>
      </c>
      <c r="C130" s="55" t="s">
        <v>97</v>
      </c>
      <c r="D130" s="55" t="s">
        <v>173</v>
      </c>
      <c r="E130" s="72" t="s">
        <v>1941</v>
      </c>
    </row>
    <row r="131" spans="1:5">
      <c r="A131" s="68" t="s">
        <v>1871</v>
      </c>
      <c r="B131" s="55" t="s">
        <v>343</v>
      </c>
      <c r="C131" s="55" t="s">
        <v>97</v>
      </c>
      <c r="D131" s="55" t="s">
        <v>19</v>
      </c>
      <c r="E131" s="72" t="s">
        <v>1942</v>
      </c>
    </row>
  </sheetData>
  <mergeCells count="24">
    <mergeCell ref="A47:L47"/>
    <mergeCell ref="A52:L52"/>
    <mergeCell ref="A59:L59"/>
    <mergeCell ref="A68:L68"/>
    <mergeCell ref="A19:L19"/>
    <mergeCell ref="A23:L23"/>
    <mergeCell ref="A26:L26"/>
    <mergeCell ref="A30:L30"/>
    <mergeCell ref="A36:L36"/>
    <mergeCell ref="A42:L42"/>
    <mergeCell ref="K3:K4"/>
    <mergeCell ref="L3:L4"/>
    <mergeCell ref="M3:M4"/>
    <mergeCell ref="A5:L5"/>
    <mergeCell ref="A8:L8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3"/>
  <sheetViews>
    <sheetView workbookViewId="0">
      <selection activeCell="H11" sqref="H11"/>
    </sheetView>
  </sheetViews>
  <sheetFormatPr defaultRowHeight="12.75"/>
  <cols>
    <col min="1" max="1" width="27" style="55" bestFit="1" customWidth="1"/>
    <col min="2" max="2" width="26.85546875" style="55" bestFit="1" customWidth="1"/>
    <col min="3" max="3" width="7.7109375" style="55" bestFit="1" customWidth="1"/>
    <col min="4" max="4" width="6.85546875" style="55" bestFit="1" customWidth="1"/>
    <col min="5" max="5" width="17.28515625" style="55" bestFit="1" customWidth="1"/>
    <col min="6" max="6" width="37.140625" style="55" bestFit="1" customWidth="1"/>
    <col min="7" max="10" width="5.5703125" style="55" bestFit="1" customWidth="1"/>
    <col min="11" max="11" width="6.7109375" style="55" bestFit="1" customWidth="1"/>
    <col min="12" max="12" width="8.5703125" style="55" bestFit="1" customWidth="1"/>
    <col min="13" max="13" width="23.7109375" style="55" bestFit="1" customWidth="1"/>
  </cols>
  <sheetData>
    <row r="1" spans="1:13" s="1" customFormat="1" ht="15" customHeight="1">
      <c r="A1" s="27" t="s">
        <v>2354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7" customFormat="1" ht="12.75" customHeight="1">
      <c r="A3" s="9" t="s">
        <v>0</v>
      </c>
      <c r="B3" s="13" t="s">
        <v>12</v>
      </c>
      <c r="C3" s="13" t="s">
        <v>11</v>
      </c>
      <c r="D3" s="10" t="s">
        <v>1</v>
      </c>
      <c r="E3" s="10" t="s">
        <v>2</v>
      </c>
      <c r="F3" s="16" t="s">
        <v>3</v>
      </c>
      <c r="G3" s="9" t="s">
        <v>5</v>
      </c>
      <c r="H3" s="10"/>
      <c r="I3" s="10"/>
      <c r="J3" s="11"/>
      <c r="K3" s="33" t="s">
        <v>7</v>
      </c>
      <c r="L3" s="10" t="s">
        <v>9</v>
      </c>
      <c r="M3" s="11" t="s">
        <v>8</v>
      </c>
    </row>
    <row r="4" spans="1:13" s="7" customFormat="1" ht="23.25" customHeight="1" thickBot="1">
      <c r="A4" s="12"/>
      <c r="B4" s="14"/>
      <c r="C4" s="14"/>
      <c r="D4" s="14"/>
      <c r="E4" s="14"/>
      <c r="F4" s="17"/>
      <c r="G4" s="3">
        <v>1</v>
      </c>
      <c r="H4" s="2">
        <v>2</v>
      </c>
      <c r="I4" s="2">
        <v>3</v>
      </c>
      <c r="J4" s="4" t="s">
        <v>10</v>
      </c>
      <c r="K4" s="34"/>
      <c r="L4" s="14"/>
      <c r="M4" s="15"/>
    </row>
    <row r="5" spans="1:13" ht="15">
      <c r="A5" s="35" t="s">
        <v>759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>
      <c r="A6" s="59" t="s">
        <v>1256</v>
      </c>
      <c r="B6" s="59" t="s">
        <v>1257</v>
      </c>
      <c r="C6" s="59" t="s">
        <v>1258</v>
      </c>
      <c r="D6" s="59" t="str">
        <f>"1,2580"</f>
        <v>1,2580</v>
      </c>
      <c r="E6" s="59" t="s">
        <v>120</v>
      </c>
      <c r="F6" s="59" t="s">
        <v>147</v>
      </c>
      <c r="G6" s="59" t="s">
        <v>141</v>
      </c>
      <c r="H6" s="59" t="s">
        <v>482</v>
      </c>
      <c r="I6" s="60" t="s">
        <v>142</v>
      </c>
      <c r="J6" s="60"/>
      <c r="K6" s="59">
        <v>62.5</v>
      </c>
      <c r="L6" s="59" t="str">
        <f>"78,6250"</f>
        <v>78,6250</v>
      </c>
      <c r="M6" s="59"/>
    </row>
    <row r="7" spans="1:13">
      <c r="A7" s="61" t="s">
        <v>1259</v>
      </c>
      <c r="B7" s="61" t="s">
        <v>1260</v>
      </c>
      <c r="C7" s="61" t="s">
        <v>1261</v>
      </c>
      <c r="D7" s="61" t="str">
        <f>"1,2704"</f>
        <v>1,2704</v>
      </c>
      <c r="E7" s="61" t="s">
        <v>120</v>
      </c>
      <c r="F7" s="61" t="s">
        <v>1262</v>
      </c>
      <c r="G7" s="61" t="s">
        <v>154</v>
      </c>
      <c r="H7" s="61" t="s">
        <v>134</v>
      </c>
      <c r="I7" s="62" t="s">
        <v>148</v>
      </c>
      <c r="J7" s="62"/>
      <c r="K7" s="61">
        <v>50</v>
      </c>
      <c r="L7" s="61" t="str">
        <f>"63,5200"</f>
        <v>63,5200</v>
      </c>
      <c r="M7" s="61"/>
    </row>
    <row r="9" spans="1:13" ht="15">
      <c r="A9" s="58" t="s">
        <v>455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>
      <c r="A10" s="59" t="s">
        <v>1263</v>
      </c>
      <c r="B10" s="59" t="s">
        <v>1264</v>
      </c>
      <c r="C10" s="59" t="s">
        <v>1118</v>
      </c>
      <c r="D10" s="59" t="str">
        <f>"1,1790"</f>
        <v>1,1790</v>
      </c>
      <c r="E10" s="59" t="s">
        <v>17</v>
      </c>
      <c r="F10" s="59" t="s">
        <v>1265</v>
      </c>
      <c r="G10" s="59" t="s">
        <v>148</v>
      </c>
      <c r="H10" s="59" t="s">
        <v>141</v>
      </c>
      <c r="I10" s="59" t="s">
        <v>142</v>
      </c>
      <c r="J10" s="60"/>
      <c r="K10" s="59">
        <v>65</v>
      </c>
      <c r="L10" s="59" t="str">
        <f>"76,6350"</f>
        <v>76,6350</v>
      </c>
      <c r="M10" s="59"/>
    </row>
    <row r="11" spans="1:13">
      <c r="A11" s="63" t="s">
        <v>1266</v>
      </c>
      <c r="B11" s="63" t="s">
        <v>1267</v>
      </c>
      <c r="C11" s="63" t="s">
        <v>1268</v>
      </c>
      <c r="D11" s="63" t="str">
        <f>"1,1865"</f>
        <v>1,1865</v>
      </c>
      <c r="E11" s="63" t="s">
        <v>120</v>
      </c>
      <c r="F11" s="63" t="s">
        <v>72</v>
      </c>
      <c r="G11" s="63" t="s">
        <v>148</v>
      </c>
      <c r="H11" s="63" t="s">
        <v>141</v>
      </c>
      <c r="I11" s="64" t="s">
        <v>482</v>
      </c>
      <c r="J11" s="64"/>
      <c r="K11" s="63">
        <v>60</v>
      </c>
      <c r="L11" s="63" t="str">
        <f>"71,1900"</f>
        <v>71,1900</v>
      </c>
      <c r="M11" s="63" t="s">
        <v>1269</v>
      </c>
    </row>
    <row r="12" spans="1:13">
      <c r="A12" s="63" t="s">
        <v>1270</v>
      </c>
      <c r="B12" s="63" t="s">
        <v>1271</v>
      </c>
      <c r="C12" s="63" t="s">
        <v>1118</v>
      </c>
      <c r="D12" s="63" t="str">
        <f>"1,1790"</f>
        <v>1,1790</v>
      </c>
      <c r="E12" s="63" t="s">
        <v>120</v>
      </c>
      <c r="F12" s="63" t="s">
        <v>1272</v>
      </c>
      <c r="G12" s="63" t="s">
        <v>134</v>
      </c>
      <c r="H12" s="63" t="s">
        <v>125</v>
      </c>
      <c r="I12" s="64" t="s">
        <v>148</v>
      </c>
      <c r="J12" s="64"/>
      <c r="K12" s="63">
        <v>52.5</v>
      </c>
      <c r="L12" s="63" t="str">
        <f>"61,8975"</f>
        <v>61,8975</v>
      </c>
      <c r="M12" s="63"/>
    </row>
    <row r="13" spans="1:13">
      <c r="A13" s="61" t="s">
        <v>1263</v>
      </c>
      <c r="B13" s="61" t="s">
        <v>1273</v>
      </c>
      <c r="C13" s="61" t="s">
        <v>1118</v>
      </c>
      <c r="D13" s="61" t="str">
        <f>"1,3959"</f>
        <v>1,3959</v>
      </c>
      <c r="E13" s="61" t="s">
        <v>17</v>
      </c>
      <c r="F13" s="61" t="s">
        <v>1265</v>
      </c>
      <c r="G13" s="61" t="s">
        <v>148</v>
      </c>
      <c r="H13" s="61" t="s">
        <v>141</v>
      </c>
      <c r="I13" s="61" t="s">
        <v>142</v>
      </c>
      <c r="J13" s="62"/>
      <c r="K13" s="61">
        <v>65</v>
      </c>
      <c r="L13" s="61" t="str">
        <f>"90,7358"</f>
        <v>90,7358</v>
      </c>
      <c r="M13" s="61"/>
    </row>
    <row r="15" spans="1:13" ht="15">
      <c r="A15" s="58" t="s">
        <v>350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3">
      <c r="A16" s="59" t="s">
        <v>1274</v>
      </c>
      <c r="B16" s="59" t="s">
        <v>1275</v>
      </c>
      <c r="C16" s="59" t="s">
        <v>1124</v>
      </c>
      <c r="D16" s="59" t="str">
        <f>"1,1076"</f>
        <v>1,1076</v>
      </c>
      <c r="E16" s="59" t="s">
        <v>17</v>
      </c>
      <c r="F16" s="59" t="s">
        <v>464</v>
      </c>
      <c r="G16" s="59" t="s">
        <v>148</v>
      </c>
      <c r="H16" s="59" t="s">
        <v>141</v>
      </c>
      <c r="I16" s="60" t="s">
        <v>482</v>
      </c>
      <c r="J16" s="60"/>
      <c r="K16" s="59">
        <v>60</v>
      </c>
      <c r="L16" s="59" t="str">
        <f>"66,4560"</f>
        <v>66,4560</v>
      </c>
      <c r="M16" s="59" t="s">
        <v>1276</v>
      </c>
    </row>
    <row r="17" spans="1:13">
      <c r="A17" s="63" t="s">
        <v>1277</v>
      </c>
      <c r="B17" s="63" t="s">
        <v>1278</v>
      </c>
      <c r="C17" s="63" t="s">
        <v>1279</v>
      </c>
      <c r="D17" s="63" t="str">
        <f>"1,1441"</f>
        <v>1,1441</v>
      </c>
      <c r="E17" s="63" t="s">
        <v>17</v>
      </c>
      <c r="F17" s="63" t="s">
        <v>72</v>
      </c>
      <c r="G17" s="63" t="s">
        <v>1125</v>
      </c>
      <c r="H17" s="63" t="s">
        <v>482</v>
      </c>
      <c r="I17" s="64" t="s">
        <v>794</v>
      </c>
      <c r="J17" s="64"/>
      <c r="K17" s="63">
        <v>62.5</v>
      </c>
      <c r="L17" s="63" t="str">
        <f>"71,5062"</f>
        <v>71,5062</v>
      </c>
      <c r="M17" s="63"/>
    </row>
    <row r="18" spans="1:13">
      <c r="A18" s="63" t="s">
        <v>1280</v>
      </c>
      <c r="B18" s="63" t="s">
        <v>1281</v>
      </c>
      <c r="C18" s="63" t="s">
        <v>793</v>
      </c>
      <c r="D18" s="63" t="str">
        <f>"1,1161"</f>
        <v>1,1161</v>
      </c>
      <c r="E18" s="63" t="s">
        <v>120</v>
      </c>
      <c r="F18" s="63" t="s">
        <v>153</v>
      </c>
      <c r="G18" s="63" t="s">
        <v>1125</v>
      </c>
      <c r="H18" s="63" t="s">
        <v>482</v>
      </c>
      <c r="I18" s="64" t="s">
        <v>794</v>
      </c>
      <c r="J18" s="64"/>
      <c r="K18" s="63">
        <v>62.5</v>
      </c>
      <c r="L18" s="63" t="str">
        <f>"69,7562"</f>
        <v>69,7562</v>
      </c>
      <c r="M18" s="63" t="s">
        <v>1282</v>
      </c>
    </row>
    <row r="19" spans="1:13">
      <c r="A19" s="63" t="s">
        <v>1277</v>
      </c>
      <c r="B19" s="63" t="s">
        <v>1283</v>
      </c>
      <c r="C19" s="63" t="s">
        <v>1279</v>
      </c>
      <c r="D19" s="63" t="str">
        <f>"1,1441"</f>
        <v>1,1441</v>
      </c>
      <c r="E19" s="63" t="s">
        <v>17</v>
      </c>
      <c r="F19" s="63" t="s">
        <v>72</v>
      </c>
      <c r="G19" s="63" t="s">
        <v>1125</v>
      </c>
      <c r="H19" s="63" t="s">
        <v>482</v>
      </c>
      <c r="I19" s="64" t="s">
        <v>794</v>
      </c>
      <c r="J19" s="64"/>
      <c r="K19" s="63">
        <v>62.5</v>
      </c>
      <c r="L19" s="63" t="str">
        <f>"71,5062"</f>
        <v>71,5062</v>
      </c>
      <c r="M19" s="63"/>
    </row>
    <row r="20" spans="1:13">
      <c r="A20" s="63" t="s">
        <v>1284</v>
      </c>
      <c r="B20" s="63" t="s">
        <v>1285</v>
      </c>
      <c r="C20" s="63" t="s">
        <v>1128</v>
      </c>
      <c r="D20" s="63" t="str">
        <f>"1,1126"</f>
        <v>1,1126</v>
      </c>
      <c r="E20" s="63" t="s">
        <v>17</v>
      </c>
      <c r="F20" s="63" t="s">
        <v>755</v>
      </c>
      <c r="G20" s="64" t="s">
        <v>125</v>
      </c>
      <c r="H20" s="63" t="s">
        <v>148</v>
      </c>
      <c r="I20" s="64" t="s">
        <v>1125</v>
      </c>
      <c r="J20" s="64"/>
      <c r="K20" s="63">
        <v>55</v>
      </c>
      <c r="L20" s="63" t="str">
        <f>"61,1930"</f>
        <v>61,1930</v>
      </c>
      <c r="M20" s="63"/>
    </row>
    <row r="21" spans="1:13">
      <c r="A21" s="61" t="s">
        <v>1286</v>
      </c>
      <c r="B21" s="61" t="s">
        <v>1287</v>
      </c>
      <c r="C21" s="61" t="s">
        <v>1288</v>
      </c>
      <c r="D21" s="61" t="str">
        <f>"1,1659"</f>
        <v>1,1659</v>
      </c>
      <c r="E21" s="61" t="s">
        <v>17</v>
      </c>
      <c r="F21" s="61" t="s">
        <v>755</v>
      </c>
      <c r="G21" s="61" t="s">
        <v>134</v>
      </c>
      <c r="H21" s="62" t="s">
        <v>148</v>
      </c>
      <c r="I21" s="61" t="s">
        <v>148</v>
      </c>
      <c r="J21" s="62"/>
      <c r="K21" s="61">
        <v>55</v>
      </c>
      <c r="L21" s="61" t="str">
        <f>"64,1226"</f>
        <v>64,1226</v>
      </c>
      <c r="M21" s="61"/>
    </row>
    <row r="23" spans="1:13" ht="15">
      <c r="A23" s="58" t="s">
        <v>116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3">
      <c r="A24" s="59" t="s">
        <v>1289</v>
      </c>
      <c r="B24" s="59" t="s">
        <v>1290</v>
      </c>
      <c r="C24" s="59" t="s">
        <v>1291</v>
      </c>
      <c r="D24" s="59" t="str">
        <f>"1,0812"</f>
        <v>1,0812</v>
      </c>
      <c r="E24" s="59" t="s">
        <v>120</v>
      </c>
      <c r="F24" s="59" t="s">
        <v>153</v>
      </c>
      <c r="G24" s="59" t="s">
        <v>165</v>
      </c>
      <c r="H24" s="59" t="s">
        <v>170</v>
      </c>
      <c r="I24" s="60" t="s">
        <v>1292</v>
      </c>
      <c r="J24" s="60"/>
      <c r="K24" s="59">
        <v>75</v>
      </c>
      <c r="L24" s="59" t="str">
        <f>"81,0900"</f>
        <v>81,0900</v>
      </c>
      <c r="M24" s="59"/>
    </row>
    <row r="25" spans="1:13">
      <c r="A25" s="63" t="s">
        <v>1293</v>
      </c>
      <c r="B25" s="63" t="s">
        <v>1294</v>
      </c>
      <c r="C25" s="63" t="s">
        <v>1295</v>
      </c>
      <c r="D25" s="63" t="str">
        <f>"1,0561"</f>
        <v>1,0561</v>
      </c>
      <c r="E25" s="63" t="s">
        <v>17</v>
      </c>
      <c r="F25" s="63" t="s">
        <v>1296</v>
      </c>
      <c r="G25" s="64" t="s">
        <v>142</v>
      </c>
      <c r="H25" s="64" t="s">
        <v>142</v>
      </c>
      <c r="I25" s="63" t="s">
        <v>142</v>
      </c>
      <c r="J25" s="64"/>
      <c r="K25" s="63">
        <v>65</v>
      </c>
      <c r="L25" s="63" t="str">
        <f>"68,6465"</f>
        <v>68,6465</v>
      </c>
      <c r="M25" s="63"/>
    </row>
    <row r="26" spans="1:13">
      <c r="A26" s="63" t="s">
        <v>1297</v>
      </c>
      <c r="B26" s="63" t="s">
        <v>1298</v>
      </c>
      <c r="C26" s="63" t="s">
        <v>1299</v>
      </c>
      <c r="D26" s="63" t="str">
        <f>"1,0780"</f>
        <v>1,0780</v>
      </c>
      <c r="E26" s="63" t="s">
        <v>17</v>
      </c>
      <c r="F26" s="63" t="s">
        <v>72</v>
      </c>
      <c r="G26" s="63" t="s">
        <v>133</v>
      </c>
      <c r="H26" s="63" t="s">
        <v>763</v>
      </c>
      <c r="I26" s="63" t="s">
        <v>154</v>
      </c>
      <c r="J26" s="64"/>
      <c r="K26" s="63">
        <v>45</v>
      </c>
      <c r="L26" s="63" t="str">
        <f>"48,5100"</f>
        <v>48,5100</v>
      </c>
      <c r="M26" s="63"/>
    </row>
    <row r="27" spans="1:13">
      <c r="A27" s="61" t="s">
        <v>1300</v>
      </c>
      <c r="B27" s="61" t="s">
        <v>1301</v>
      </c>
      <c r="C27" s="61" t="s">
        <v>1302</v>
      </c>
      <c r="D27" s="61" t="str">
        <f>"1,4445"</f>
        <v>1,4445</v>
      </c>
      <c r="E27" s="61" t="s">
        <v>120</v>
      </c>
      <c r="F27" s="61" t="s">
        <v>153</v>
      </c>
      <c r="G27" s="61" t="s">
        <v>148</v>
      </c>
      <c r="H27" s="61" t="s">
        <v>141</v>
      </c>
      <c r="I27" s="61" t="s">
        <v>482</v>
      </c>
      <c r="J27" s="62" t="s">
        <v>142</v>
      </c>
      <c r="K27" s="61">
        <v>62.5</v>
      </c>
      <c r="L27" s="61" t="str">
        <f>"90,2841"</f>
        <v>90,2841</v>
      </c>
      <c r="M27" s="61"/>
    </row>
    <row r="29" spans="1:13" ht="15">
      <c r="A29" s="58" t="s">
        <v>127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3">
      <c r="A30" s="59" t="s">
        <v>1303</v>
      </c>
      <c r="B30" s="59" t="s">
        <v>1304</v>
      </c>
      <c r="C30" s="59" t="s">
        <v>1305</v>
      </c>
      <c r="D30" s="59" t="str">
        <f>"0,9930"</f>
        <v>0,9930</v>
      </c>
      <c r="E30" s="59" t="s">
        <v>177</v>
      </c>
      <c r="F30" s="59" t="s">
        <v>354</v>
      </c>
      <c r="G30" s="59" t="s">
        <v>148</v>
      </c>
      <c r="H30" s="59" t="s">
        <v>141</v>
      </c>
      <c r="I30" s="59" t="s">
        <v>142</v>
      </c>
      <c r="J30" s="60"/>
      <c r="K30" s="59">
        <v>65</v>
      </c>
      <c r="L30" s="59" t="str">
        <f>"64,5418"</f>
        <v>64,5418</v>
      </c>
      <c r="M30" s="59"/>
    </row>
    <row r="31" spans="1:13">
      <c r="A31" s="63" t="s">
        <v>1306</v>
      </c>
      <c r="B31" s="63" t="s">
        <v>1307</v>
      </c>
      <c r="C31" s="63" t="s">
        <v>1308</v>
      </c>
      <c r="D31" s="63" t="str">
        <f>"1,0120"</f>
        <v>1,0120</v>
      </c>
      <c r="E31" s="63" t="s">
        <v>120</v>
      </c>
      <c r="F31" s="63" t="s">
        <v>481</v>
      </c>
      <c r="G31" s="63" t="s">
        <v>124</v>
      </c>
      <c r="H31" s="63" t="s">
        <v>125</v>
      </c>
      <c r="I31" s="64" t="s">
        <v>148</v>
      </c>
      <c r="J31" s="64"/>
      <c r="K31" s="63">
        <v>52.5</v>
      </c>
      <c r="L31" s="63" t="str">
        <f>"53,1300"</f>
        <v>53,1300</v>
      </c>
      <c r="M31" s="63"/>
    </row>
    <row r="32" spans="1:13">
      <c r="A32" s="63" t="s">
        <v>1309</v>
      </c>
      <c r="B32" s="63" t="s">
        <v>1310</v>
      </c>
      <c r="C32" s="63" t="s">
        <v>1311</v>
      </c>
      <c r="D32" s="63" t="str">
        <f>"1,0051"</f>
        <v>1,0051</v>
      </c>
      <c r="E32" s="63" t="s">
        <v>120</v>
      </c>
      <c r="F32" s="63" t="s">
        <v>153</v>
      </c>
      <c r="G32" s="63" t="s">
        <v>125</v>
      </c>
      <c r="H32" s="63" t="s">
        <v>1125</v>
      </c>
      <c r="I32" s="64" t="s">
        <v>141</v>
      </c>
      <c r="J32" s="64"/>
      <c r="K32" s="63">
        <v>57.5</v>
      </c>
      <c r="L32" s="63" t="str">
        <f>"57,7933"</f>
        <v>57,7933</v>
      </c>
      <c r="M32" s="63"/>
    </row>
    <row r="33" spans="1:13">
      <c r="A33" s="63" t="s">
        <v>1312</v>
      </c>
      <c r="B33" s="63" t="s">
        <v>1313</v>
      </c>
      <c r="C33" s="63" t="s">
        <v>140</v>
      </c>
      <c r="D33" s="63" t="str">
        <f>"0,9903"</f>
        <v>0,9903</v>
      </c>
      <c r="E33" s="63" t="s">
        <v>120</v>
      </c>
      <c r="F33" s="63" t="s">
        <v>1314</v>
      </c>
      <c r="G33" s="63" t="s">
        <v>794</v>
      </c>
      <c r="H33" s="63" t="s">
        <v>169</v>
      </c>
      <c r="I33" s="64" t="s">
        <v>170</v>
      </c>
      <c r="J33" s="64"/>
      <c r="K33" s="63">
        <v>72.5</v>
      </c>
      <c r="L33" s="63" t="str">
        <f>"71,7967"</f>
        <v>71,7967</v>
      </c>
      <c r="M33" s="63"/>
    </row>
    <row r="34" spans="1:13">
      <c r="A34" s="63" t="s">
        <v>1315</v>
      </c>
      <c r="B34" s="63" t="s">
        <v>1316</v>
      </c>
      <c r="C34" s="63" t="s">
        <v>771</v>
      </c>
      <c r="D34" s="63" t="str">
        <f>"0,9889"</f>
        <v>0,9889</v>
      </c>
      <c r="E34" s="63" t="s">
        <v>17</v>
      </c>
      <c r="F34" s="63" t="s">
        <v>72</v>
      </c>
      <c r="G34" s="63" t="s">
        <v>169</v>
      </c>
      <c r="H34" s="64" t="s">
        <v>772</v>
      </c>
      <c r="I34" s="64" t="s">
        <v>772</v>
      </c>
      <c r="J34" s="64"/>
      <c r="K34" s="63">
        <v>72.5</v>
      </c>
      <c r="L34" s="63" t="str">
        <f>"71,6953"</f>
        <v>71,6953</v>
      </c>
      <c r="M34" s="63" t="s">
        <v>1269</v>
      </c>
    </row>
    <row r="35" spans="1:13">
      <c r="A35" s="61" t="s">
        <v>1317</v>
      </c>
      <c r="B35" s="61" t="s">
        <v>1318</v>
      </c>
      <c r="C35" s="61" t="s">
        <v>1319</v>
      </c>
      <c r="D35" s="61" t="str">
        <f>"1,0629"</f>
        <v>1,0629</v>
      </c>
      <c r="E35" s="61" t="s">
        <v>120</v>
      </c>
      <c r="F35" s="61" t="s">
        <v>1320</v>
      </c>
      <c r="G35" s="61" t="s">
        <v>482</v>
      </c>
      <c r="H35" s="62" t="s">
        <v>794</v>
      </c>
      <c r="I35" s="62" t="s">
        <v>794</v>
      </c>
      <c r="J35" s="62"/>
      <c r="K35" s="61">
        <v>62.5</v>
      </c>
      <c r="L35" s="61" t="str">
        <f>"66,4326"</f>
        <v>66,4326</v>
      </c>
      <c r="M35" s="61"/>
    </row>
    <row r="37" spans="1:13" ht="15">
      <c r="A37" s="58" t="s">
        <v>143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3">
      <c r="A38" s="59" t="s">
        <v>1321</v>
      </c>
      <c r="B38" s="59" t="s">
        <v>1322</v>
      </c>
      <c r="C38" s="59" t="s">
        <v>1323</v>
      </c>
      <c r="D38" s="59" t="str">
        <f>"0,9824"</f>
        <v>0,9824</v>
      </c>
      <c r="E38" s="59" t="s">
        <v>17</v>
      </c>
      <c r="F38" s="59" t="s">
        <v>1324</v>
      </c>
      <c r="G38" s="59" t="s">
        <v>148</v>
      </c>
      <c r="H38" s="60" t="s">
        <v>1125</v>
      </c>
      <c r="I38" s="59" t="s">
        <v>1125</v>
      </c>
      <c r="J38" s="60"/>
      <c r="K38" s="59">
        <v>57.5</v>
      </c>
      <c r="L38" s="59" t="str">
        <f>"56,4880"</f>
        <v>56,4880</v>
      </c>
      <c r="M38" s="59" t="s">
        <v>1325</v>
      </c>
    </row>
    <row r="39" spans="1:13">
      <c r="A39" s="63" t="s">
        <v>1326</v>
      </c>
      <c r="B39" s="63" t="s">
        <v>1327</v>
      </c>
      <c r="C39" s="63" t="s">
        <v>1328</v>
      </c>
      <c r="D39" s="63" t="str">
        <f>"0,9255"</f>
        <v>0,9255</v>
      </c>
      <c r="E39" s="63" t="s">
        <v>120</v>
      </c>
      <c r="F39" s="63" t="s">
        <v>51</v>
      </c>
      <c r="G39" s="63" t="s">
        <v>141</v>
      </c>
      <c r="H39" s="63" t="s">
        <v>142</v>
      </c>
      <c r="I39" s="64" t="s">
        <v>794</v>
      </c>
      <c r="J39" s="64"/>
      <c r="K39" s="63">
        <v>65</v>
      </c>
      <c r="L39" s="63" t="str">
        <f>"60,1575"</f>
        <v>60,1575</v>
      </c>
      <c r="M39" s="63" t="s">
        <v>1329</v>
      </c>
    </row>
    <row r="40" spans="1:13">
      <c r="A40" s="63" t="s">
        <v>1330</v>
      </c>
      <c r="B40" s="63" t="s">
        <v>1331</v>
      </c>
      <c r="C40" s="63" t="s">
        <v>1332</v>
      </c>
      <c r="D40" s="63" t="str">
        <f>"0,9334"</f>
        <v>0,9334</v>
      </c>
      <c r="E40" s="63" t="s">
        <v>120</v>
      </c>
      <c r="F40" s="63" t="s">
        <v>786</v>
      </c>
      <c r="G40" s="63" t="s">
        <v>122</v>
      </c>
      <c r="H40" s="64" t="s">
        <v>136</v>
      </c>
      <c r="I40" s="64"/>
      <c r="J40" s="64"/>
      <c r="K40" s="63">
        <v>102.5</v>
      </c>
      <c r="L40" s="63" t="str">
        <f>"95,6786"</f>
        <v>95,6786</v>
      </c>
      <c r="M40" s="63" t="s">
        <v>1333</v>
      </c>
    </row>
    <row r="41" spans="1:13">
      <c r="A41" s="63" t="s">
        <v>1334</v>
      </c>
      <c r="B41" s="63" t="s">
        <v>1335</v>
      </c>
      <c r="C41" s="63" t="s">
        <v>1336</v>
      </c>
      <c r="D41" s="63" t="str">
        <f>"0,9373"</f>
        <v>0,9373</v>
      </c>
      <c r="E41" s="63" t="s">
        <v>17</v>
      </c>
      <c r="F41" s="63" t="s">
        <v>990</v>
      </c>
      <c r="G41" s="64" t="s">
        <v>165</v>
      </c>
      <c r="H41" s="64" t="s">
        <v>165</v>
      </c>
      <c r="I41" s="64" t="s">
        <v>170</v>
      </c>
      <c r="J41" s="64"/>
      <c r="K41" s="63">
        <v>0</v>
      </c>
      <c r="L41" s="63" t="str">
        <f>"0,0000"</f>
        <v>0,0000</v>
      </c>
      <c r="M41" s="63"/>
    </row>
    <row r="42" spans="1:13">
      <c r="A42" s="63" t="s">
        <v>1337</v>
      </c>
      <c r="B42" s="63" t="s">
        <v>1338</v>
      </c>
      <c r="C42" s="63" t="s">
        <v>365</v>
      </c>
      <c r="D42" s="63" t="str">
        <f>"0,9820"</f>
        <v>0,9820</v>
      </c>
      <c r="E42" s="63" t="s">
        <v>17</v>
      </c>
      <c r="F42" s="63" t="s">
        <v>72</v>
      </c>
      <c r="G42" s="63" t="s">
        <v>359</v>
      </c>
      <c r="H42" s="63" t="s">
        <v>121</v>
      </c>
      <c r="I42" s="63" t="s">
        <v>477</v>
      </c>
      <c r="J42" s="64"/>
      <c r="K42" s="63">
        <v>97.5</v>
      </c>
      <c r="L42" s="63" t="str">
        <f>"95,7486"</f>
        <v>95,7486</v>
      </c>
      <c r="M42" s="63" t="s">
        <v>1339</v>
      </c>
    </row>
    <row r="43" spans="1:13">
      <c r="A43" s="63" t="s">
        <v>1340</v>
      </c>
      <c r="B43" s="63" t="s">
        <v>1341</v>
      </c>
      <c r="C43" s="63" t="s">
        <v>1332</v>
      </c>
      <c r="D43" s="63" t="str">
        <f>"0,9334"</f>
        <v>0,9334</v>
      </c>
      <c r="E43" s="63" t="s">
        <v>17</v>
      </c>
      <c r="F43" s="63" t="s">
        <v>972</v>
      </c>
      <c r="G43" s="63" t="s">
        <v>165</v>
      </c>
      <c r="H43" s="63" t="s">
        <v>170</v>
      </c>
      <c r="I43" s="64" t="s">
        <v>131</v>
      </c>
      <c r="J43" s="64"/>
      <c r="K43" s="63">
        <v>75</v>
      </c>
      <c r="L43" s="63" t="str">
        <f>"70,0087"</f>
        <v>70,0087</v>
      </c>
      <c r="M43" s="63"/>
    </row>
    <row r="44" spans="1:13">
      <c r="A44" s="61" t="s">
        <v>1342</v>
      </c>
      <c r="B44" s="61" t="s">
        <v>1343</v>
      </c>
      <c r="C44" s="61" t="s">
        <v>1344</v>
      </c>
      <c r="D44" s="61" t="str">
        <f>"1,0706"</f>
        <v>1,0706</v>
      </c>
      <c r="E44" s="61" t="s">
        <v>17</v>
      </c>
      <c r="F44" s="61" t="s">
        <v>72</v>
      </c>
      <c r="G44" s="62" t="s">
        <v>763</v>
      </c>
      <c r="H44" s="61" t="s">
        <v>763</v>
      </c>
      <c r="I44" s="61" t="s">
        <v>154</v>
      </c>
      <c r="J44" s="62"/>
      <c r="K44" s="61">
        <v>45</v>
      </c>
      <c r="L44" s="61" t="str">
        <f>"48,1778"</f>
        <v>48,1778</v>
      </c>
      <c r="M44" s="61"/>
    </row>
    <row r="46" spans="1:13" ht="15">
      <c r="A46" s="58" t="s">
        <v>189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3">
      <c r="A47" s="59" t="s">
        <v>783</v>
      </c>
      <c r="B47" s="59" t="s">
        <v>784</v>
      </c>
      <c r="C47" s="59" t="s">
        <v>1345</v>
      </c>
      <c r="D47" s="59" t="str">
        <f>"0,8765"</f>
        <v>0,8765</v>
      </c>
      <c r="E47" s="59" t="s">
        <v>120</v>
      </c>
      <c r="F47" s="59" t="s">
        <v>786</v>
      </c>
      <c r="G47" s="59" t="s">
        <v>165</v>
      </c>
      <c r="H47" s="59" t="s">
        <v>170</v>
      </c>
      <c r="I47" s="60" t="s">
        <v>772</v>
      </c>
      <c r="J47" s="60"/>
      <c r="K47" s="59">
        <v>75</v>
      </c>
      <c r="L47" s="59" t="str">
        <f>"65,7338"</f>
        <v>65,7338</v>
      </c>
      <c r="M47" s="59"/>
    </row>
    <row r="48" spans="1:13">
      <c r="A48" s="61" t="s">
        <v>1346</v>
      </c>
      <c r="B48" s="61" t="s">
        <v>1347</v>
      </c>
      <c r="C48" s="61" t="s">
        <v>1230</v>
      </c>
      <c r="D48" s="61" t="str">
        <f>"1,0271"</f>
        <v>1,0271</v>
      </c>
      <c r="E48" s="61" t="s">
        <v>17</v>
      </c>
      <c r="F48" s="61" t="s">
        <v>29</v>
      </c>
      <c r="G48" s="61" t="s">
        <v>125</v>
      </c>
      <c r="H48" s="62" t="s">
        <v>148</v>
      </c>
      <c r="I48" s="62" t="s">
        <v>148</v>
      </c>
      <c r="J48" s="62"/>
      <c r="K48" s="61">
        <v>52.5</v>
      </c>
      <c r="L48" s="61" t="str">
        <f>"53,9213"</f>
        <v>53,9213</v>
      </c>
      <c r="M48" s="61" t="s">
        <v>374</v>
      </c>
    </row>
    <row r="50" spans="1:13" ht="15">
      <c r="A50" s="58" t="s">
        <v>350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3">
      <c r="A51" s="59" t="s">
        <v>1348</v>
      </c>
      <c r="B51" s="59" t="s">
        <v>1349</v>
      </c>
      <c r="C51" s="59" t="s">
        <v>1350</v>
      </c>
      <c r="D51" s="59" t="str">
        <f>"1,0459"</f>
        <v>1,0459</v>
      </c>
      <c r="E51" s="59" t="s">
        <v>17</v>
      </c>
      <c r="F51" s="59" t="s">
        <v>29</v>
      </c>
      <c r="G51" s="59" t="s">
        <v>124</v>
      </c>
      <c r="H51" s="59" t="s">
        <v>125</v>
      </c>
      <c r="I51" s="60" t="s">
        <v>148</v>
      </c>
      <c r="J51" s="60"/>
      <c r="K51" s="59">
        <v>52.5</v>
      </c>
      <c r="L51" s="59" t="str">
        <f>"54,9097"</f>
        <v>54,9097</v>
      </c>
      <c r="M51" s="59" t="s">
        <v>137</v>
      </c>
    </row>
    <row r="52" spans="1:13">
      <c r="A52" s="63" t="s">
        <v>1351</v>
      </c>
      <c r="B52" s="63" t="s">
        <v>1352</v>
      </c>
      <c r="C52" s="63" t="s">
        <v>353</v>
      </c>
      <c r="D52" s="63" t="str">
        <f>"0,9897"</f>
        <v>0,9897</v>
      </c>
      <c r="E52" s="63" t="s">
        <v>120</v>
      </c>
      <c r="F52" s="63" t="s">
        <v>1353</v>
      </c>
      <c r="G52" s="63" t="s">
        <v>1354</v>
      </c>
      <c r="H52" s="64" t="s">
        <v>763</v>
      </c>
      <c r="I52" s="63" t="s">
        <v>154</v>
      </c>
      <c r="J52" s="64"/>
      <c r="K52" s="63">
        <v>45</v>
      </c>
      <c r="L52" s="63" t="str">
        <f>"44,5365"</f>
        <v>44,5365</v>
      </c>
      <c r="M52" s="63" t="s">
        <v>1355</v>
      </c>
    </row>
    <row r="53" spans="1:13">
      <c r="A53" s="61" t="s">
        <v>1356</v>
      </c>
      <c r="B53" s="61" t="s">
        <v>1357</v>
      </c>
      <c r="C53" s="61" t="s">
        <v>1358</v>
      </c>
      <c r="D53" s="61" t="str">
        <f>"1,3243"</f>
        <v>1,3243</v>
      </c>
      <c r="E53" s="61" t="s">
        <v>17</v>
      </c>
      <c r="F53" s="61" t="s">
        <v>282</v>
      </c>
      <c r="G53" s="61" t="s">
        <v>1359</v>
      </c>
      <c r="H53" s="61" t="s">
        <v>1360</v>
      </c>
      <c r="I53" s="62" t="s">
        <v>1354</v>
      </c>
      <c r="J53" s="62"/>
      <c r="K53" s="61">
        <v>35</v>
      </c>
      <c r="L53" s="61" t="str">
        <f>"46,3522"</f>
        <v>46,3522</v>
      </c>
      <c r="M53" s="61"/>
    </row>
    <row r="55" spans="1:13" ht="15">
      <c r="A55" s="58" t="s">
        <v>116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3">
      <c r="A56" s="59" t="s">
        <v>1361</v>
      </c>
      <c r="B56" s="59" t="s">
        <v>1362</v>
      </c>
      <c r="C56" s="59" t="s">
        <v>1363</v>
      </c>
      <c r="D56" s="59" t="str">
        <f>"0,8925"</f>
        <v>0,8925</v>
      </c>
      <c r="E56" s="59" t="s">
        <v>17</v>
      </c>
      <c r="F56" s="59" t="s">
        <v>786</v>
      </c>
      <c r="G56" s="59" t="s">
        <v>141</v>
      </c>
      <c r="H56" s="59" t="s">
        <v>165</v>
      </c>
      <c r="I56" s="60" t="s">
        <v>131</v>
      </c>
      <c r="J56" s="60"/>
      <c r="K56" s="59">
        <v>70</v>
      </c>
      <c r="L56" s="59" t="str">
        <f>"62,4785"</f>
        <v>62,4785</v>
      </c>
      <c r="M56" s="59"/>
    </row>
    <row r="57" spans="1:13">
      <c r="A57" s="63" t="s">
        <v>1364</v>
      </c>
      <c r="B57" s="63" t="s">
        <v>1365</v>
      </c>
      <c r="C57" s="63" t="s">
        <v>1366</v>
      </c>
      <c r="D57" s="63" t="str">
        <f>"0,9238"</f>
        <v>0,9238</v>
      </c>
      <c r="E57" s="63" t="s">
        <v>17</v>
      </c>
      <c r="F57" s="63" t="s">
        <v>29</v>
      </c>
      <c r="G57" s="63" t="s">
        <v>1125</v>
      </c>
      <c r="H57" s="63" t="s">
        <v>482</v>
      </c>
      <c r="I57" s="64" t="s">
        <v>142</v>
      </c>
      <c r="J57" s="64"/>
      <c r="K57" s="63">
        <v>62.5</v>
      </c>
      <c r="L57" s="63" t="str">
        <f>"57,7406"</f>
        <v>57,7406</v>
      </c>
      <c r="M57" s="63" t="s">
        <v>137</v>
      </c>
    </row>
    <row r="58" spans="1:13">
      <c r="A58" s="63" t="s">
        <v>1367</v>
      </c>
      <c r="B58" s="63" t="s">
        <v>1368</v>
      </c>
      <c r="C58" s="63" t="s">
        <v>119</v>
      </c>
      <c r="D58" s="63" t="str">
        <f>"0,9026"</f>
        <v>0,9026</v>
      </c>
      <c r="E58" s="63" t="s">
        <v>17</v>
      </c>
      <c r="F58" s="63" t="s">
        <v>29</v>
      </c>
      <c r="G58" s="63" t="s">
        <v>148</v>
      </c>
      <c r="H58" s="63" t="s">
        <v>141</v>
      </c>
      <c r="I58" s="63" t="s">
        <v>482</v>
      </c>
      <c r="J58" s="64"/>
      <c r="K58" s="63">
        <v>62.5</v>
      </c>
      <c r="L58" s="63" t="str">
        <f>"56,4156"</f>
        <v>56,4156</v>
      </c>
      <c r="M58" s="63"/>
    </row>
    <row r="59" spans="1:13">
      <c r="A59" s="63" t="s">
        <v>1369</v>
      </c>
      <c r="B59" s="63" t="s">
        <v>1370</v>
      </c>
      <c r="C59" s="63" t="s">
        <v>1371</v>
      </c>
      <c r="D59" s="63" t="str">
        <f>"0,9294"</f>
        <v>0,9294</v>
      </c>
      <c r="E59" s="63" t="s">
        <v>17</v>
      </c>
      <c r="F59" s="63" t="s">
        <v>29</v>
      </c>
      <c r="G59" s="63" t="s">
        <v>134</v>
      </c>
      <c r="H59" s="64" t="s">
        <v>148</v>
      </c>
      <c r="I59" s="64" t="s">
        <v>148</v>
      </c>
      <c r="J59" s="64"/>
      <c r="K59" s="63">
        <v>50</v>
      </c>
      <c r="L59" s="63" t="str">
        <f>"46,4675"</f>
        <v>46,4675</v>
      </c>
      <c r="M59" s="63"/>
    </row>
    <row r="60" spans="1:13">
      <c r="A60" s="63" t="s">
        <v>1372</v>
      </c>
      <c r="B60" s="63" t="s">
        <v>1373</v>
      </c>
      <c r="C60" s="63" t="s">
        <v>1132</v>
      </c>
      <c r="D60" s="63" t="str">
        <f>"0,8992"</f>
        <v>0,8992</v>
      </c>
      <c r="E60" s="63" t="s">
        <v>17</v>
      </c>
      <c r="F60" s="63" t="s">
        <v>51</v>
      </c>
      <c r="G60" s="64" t="s">
        <v>132</v>
      </c>
      <c r="H60" s="64"/>
      <c r="I60" s="64"/>
      <c r="J60" s="64"/>
      <c r="K60" s="63">
        <v>0</v>
      </c>
      <c r="L60" s="63" t="str">
        <f>"0,0000"</f>
        <v>0,0000</v>
      </c>
      <c r="M60" s="63"/>
    </row>
    <row r="61" spans="1:13">
      <c r="A61" s="63" t="s">
        <v>1372</v>
      </c>
      <c r="B61" s="63" t="s">
        <v>1374</v>
      </c>
      <c r="C61" s="63" t="s">
        <v>1132</v>
      </c>
      <c r="D61" s="63" t="str">
        <f>"0,8992"</f>
        <v>0,8992</v>
      </c>
      <c r="E61" s="63" t="s">
        <v>17</v>
      </c>
      <c r="F61" s="63" t="s">
        <v>51</v>
      </c>
      <c r="G61" s="64" t="s">
        <v>132</v>
      </c>
      <c r="H61" s="63" t="s">
        <v>132</v>
      </c>
      <c r="I61" s="63" t="s">
        <v>121</v>
      </c>
      <c r="J61" s="64"/>
      <c r="K61" s="63">
        <v>95</v>
      </c>
      <c r="L61" s="63" t="str">
        <f>"85,4287"</f>
        <v>85,4287</v>
      </c>
      <c r="M61" s="63"/>
    </row>
    <row r="62" spans="1:13">
      <c r="A62" s="63" t="s">
        <v>1375</v>
      </c>
      <c r="B62" s="63" t="s">
        <v>1376</v>
      </c>
      <c r="C62" s="63" t="s">
        <v>1366</v>
      </c>
      <c r="D62" s="63" t="str">
        <f>"0,9238"</f>
        <v>0,9238</v>
      </c>
      <c r="E62" s="63" t="s">
        <v>17</v>
      </c>
      <c r="F62" s="63" t="s">
        <v>29</v>
      </c>
      <c r="G62" s="63" t="s">
        <v>1292</v>
      </c>
      <c r="H62" s="63" t="s">
        <v>465</v>
      </c>
      <c r="I62" s="63" t="s">
        <v>132</v>
      </c>
      <c r="J62" s="64"/>
      <c r="K62" s="63">
        <v>90</v>
      </c>
      <c r="L62" s="63" t="str">
        <f>"83,1465"</f>
        <v>83,1465</v>
      </c>
      <c r="M62" s="63"/>
    </row>
    <row r="63" spans="1:13">
      <c r="A63" s="61" t="s">
        <v>1377</v>
      </c>
      <c r="B63" s="61" t="s">
        <v>1378</v>
      </c>
      <c r="C63" s="61" t="s">
        <v>1132</v>
      </c>
      <c r="D63" s="61" t="str">
        <f>"0,8992"</f>
        <v>0,8992</v>
      </c>
      <c r="E63" s="61" t="s">
        <v>17</v>
      </c>
      <c r="F63" s="61" t="s">
        <v>153</v>
      </c>
      <c r="G63" s="61" t="s">
        <v>131</v>
      </c>
      <c r="H63" s="61" t="s">
        <v>132</v>
      </c>
      <c r="I63" s="62" t="s">
        <v>359</v>
      </c>
      <c r="J63" s="62"/>
      <c r="K63" s="61">
        <v>90</v>
      </c>
      <c r="L63" s="61" t="str">
        <f>"80,9325"</f>
        <v>80,9325</v>
      </c>
      <c r="M63" s="61"/>
    </row>
    <row r="65" spans="1:13" ht="15">
      <c r="A65" s="58" t="s">
        <v>127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3">
      <c r="A66" s="59" t="s">
        <v>1379</v>
      </c>
      <c r="B66" s="59" t="s">
        <v>1380</v>
      </c>
      <c r="C66" s="59" t="s">
        <v>1135</v>
      </c>
      <c r="D66" s="59" t="str">
        <f>"0,8641"</f>
        <v>0,8641</v>
      </c>
      <c r="E66" s="59" t="s">
        <v>17</v>
      </c>
      <c r="F66" s="59" t="s">
        <v>29</v>
      </c>
      <c r="G66" s="60" t="s">
        <v>170</v>
      </c>
      <c r="H66" s="59" t="s">
        <v>170</v>
      </c>
      <c r="I66" s="60" t="s">
        <v>131</v>
      </c>
      <c r="J66" s="60"/>
      <c r="K66" s="59">
        <v>75</v>
      </c>
      <c r="L66" s="59" t="str">
        <f>"64,8112"</f>
        <v>64,8112</v>
      </c>
      <c r="M66" s="59" t="s">
        <v>137</v>
      </c>
    </row>
    <row r="67" spans="1:13">
      <c r="A67" s="63" t="s">
        <v>1381</v>
      </c>
      <c r="B67" s="63" t="s">
        <v>807</v>
      </c>
      <c r="C67" s="63" t="s">
        <v>471</v>
      </c>
      <c r="D67" s="63" t="str">
        <f>"0,8495"</f>
        <v>0,8495</v>
      </c>
      <c r="E67" s="63" t="s">
        <v>17</v>
      </c>
      <c r="F67" s="63" t="s">
        <v>153</v>
      </c>
      <c r="G67" s="63" t="s">
        <v>121</v>
      </c>
      <c r="H67" s="63" t="s">
        <v>477</v>
      </c>
      <c r="I67" s="63" t="s">
        <v>135</v>
      </c>
      <c r="J67" s="64"/>
      <c r="K67" s="63">
        <v>100</v>
      </c>
      <c r="L67" s="63" t="str">
        <f>"84,9500"</f>
        <v>84,9500</v>
      </c>
      <c r="M67" s="63"/>
    </row>
    <row r="68" spans="1:13">
      <c r="A68" s="63" t="s">
        <v>1382</v>
      </c>
      <c r="B68" s="63" t="s">
        <v>1383</v>
      </c>
      <c r="C68" s="63" t="s">
        <v>1384</v>
      </c>
      <c r="D68" s="63" t="str">
        <f>"0,8718"</f>
        <v>0,8718</v>
      </c>
      <c r="E68" s="63" t="s">
        <v>17</v>
      </c>
      <c r="F68" s="63" t="s">
        <v>786</v>
      </c>
      <c r="G68" s="63" t="s">
        <v>124</v>
      </c>
      <c r="H68" s="63" t="s">
        <v>134</v>
      </c>
      <c r="I68" s="64" t="s">
        <v>148</v>
      </c>
      <c r="J68" s="64"/>
      <c r="K68" s="63">
        <v>50</v>
      </c>
      <c r="L68" s="63" t="str">
        <f>"43,5900"</f>
        <v>43,5900</v>
      </c>
      <c r="M68" s="63"/>
    </row>
    <row r="69" spans="1:13">
      <c r="A69" s="63" t="s">
        <v>1385</v>
      </c>
      <c r="B69" s="63" t="s">
        <v>1386</v>
      </c>
      <c r="C69" s="63" t="s">
        <v>771</v>
      </c>
      <c r="D69" s="63" t="str">
        <f>"0,8342"</f>
        <v>0,8342</v>
      </c>
      <c r="E69" s="63" t="s">
        <v>120</v>
      </c>
      <c r="F69" s="63" t="s">
        <v>153</v>
      </c>
      <c r="G69" s="63" t="s">
        <v>122</v>
      </c>
      <c r="H69" s="64" t="s">
        <v>123</v>
      </c>
      <c r="I69" s="64" t="s">
        <v>123</v>
      </c>
      <c r="J69" s="64"/>
      <c r="K69" s="63">
        <v>102.5</v>
      </c>
      <c r="L69" s="63" t="str">
        <f>"85,5055"</f>
        <v>85,5055</v>
      </c>
      <c r="M69" s="63" t="s">
        <v>1387</v>
      </c>
    </row>
    <row r="70" spans="1:13">
      <c r="A70" s="61" t="s">
        <v>1388</v>
      </c>
      <c r="B70" s="61" t="s">
        <v>1389</v>
      </c>
      <c r="C70" s="61" t="s">
        <v>805</v>
      </c>
      <c r="D70" s="61" t="str">
        <f>"0,8480"</f>
        <v>0,8480</v>
      </c>
      <c r="E70" s="61" t="s">
        <v>17</v>
      </c>
      <c r="F70" s="61" t="s">
        <v>755</v>
      </c>
      <c r="G70" s="61" t="s">
        <v>155</v>
      </c>
      <c r="H70" s="62" t="s">
        <v>132</v>
      </c>
      <c r="I70" s="62" t="s">
        <v>132</v>
      </c>
      <c r="J70" s="62"/>
      <c r="K70" s="61">
        <v>85</v>
      </c>
      <c r="L70" s="61" t="str">
        <f>"72,0842"</f>
        <v>72,0842</v>
      </c>
      <c r="M70" s="61"/>
    </row>
    <row r="72" spans="1:13" ht="15">
      <c r="A72" s="58" t="s">
        <v>143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3">
      <c r="A73" s="59" t="s">
        <v>1390</v>
      </c>
      <c r="B73" s="59" t="s">
        <v>1391</v>
      </c>
      <c r="C73" s="59" t="s">
        <v>1392</v>
      </c>
      <c r="D73" s="59" t="str">
        <f>"0,7954"</f>
        <v>0,7954</v>
      </c>
      <c r="E73" s="59" t="s">
        <v>17</v>
      </c>
      <c r="F73" s="59" t="s">
        <v>29</v>
      </c>
      <c r="G73" s="59" t="s">
        <v>165</v>
      </c>
      <c r="H73" s="59" t="s">
        <v>170</v>
      </c>
      <c r="I73" s="59" t="s">
        <v>772</v>
      </c>
      <c r="J73" s="60"/>
      <c r="K73" s="59">
        <v>77.5</v>
      </c>
      <c r="L73" s="59" t="str">
        <f>"61,6396"</f>
        <v>61,6396</v>
      </c>
      <c r="M73" s="59" t="s">
        <v>137</v>
      </c>
    </row>
    <row r="74" spans="1:13">
      <c r="A74" s="63" t="s">
        <v>1393</v>
      </c>
      <c r="B74" s="63" t="s">
        <v>1394</v>
      </c>
      <c r="C74" s="63" t="s">
        <v>152</v>
      </c>
      <c r="D74" s="63" t="str">
        <f>"0,7561"</f>
        <v>0,7561</v>
      </c>
      <c r="E74" s="63" t="s">
        <v>1395</v>
      </c>
      <c r="F74" s="63" t="s">
        <v>1396</v>
      </c>
      <c r="G74" s="63" t="s">
        <v>160</v>
      </c>
      <c r="H74" s="63" t="s">
        <v>149</v>
      </c>
      <c r="I74" s="63" t="s">
        <v>126</v>
      </c>
      <c r="J74" s="64"/>
      <c r="K74" s="63">
        <v>125</v>
      </c>
      <c r="L74" s="63" t="str">
        <f>"94,5125"</f>
        <v>94,5125</v>
      </c>
      <c r="M74" s="63"/>
    </row>
    <row r="75" spans="1:13">
      <c r="A75" s="63" t="s">
        <v>1397</v>
      </c>
      <c r="B75" s="63" t="s">
        <v>1398</v>
      </c>
      <c r="C75" s="63" t="s">
        <v>1399</v>
      </c>
      <c r="D75" s="63" t="str">
        <f>"0,7808"</f>
        <v>0,7808</v>
      </c>
      <c r="E75" s="63" t="s">
        <v>17</v>
      </c>
      <c r="F75" s="63" t="s">
        <v>153</v>
      </c>
      <c r="G75" s="63" t="s">
        <v>170</v>
      </c>
      <c r="H75" s="63" t="s">
        <v>1292</v>
      </c>
      <c r="I75" s="64" t="s">
        <v>465</v>
      </c>
      <c r="J75" s="64"/>
      <c r="K75" s="63">
        <v>82.5</v>
      </c>
      <c r="L75" s="63" t="str">
        <f>"64,4160"</f>
        <v>64,4160</v>
      </c>
      <c r="M75" s="63" t="s">
        <v>1400</v>
      </c>
    </row>
    <row r="76" spans="1:13">
      <c r="A76" s="63" t="s">
        <v>1401</v>
      </c>
      <c r="B76" s="63" t="s">
        <v>1402</v>
      </c>
      <c r="C76" s="63" t="s">
        <v>1403</v>
      </c>
      <c r="D76" s="63" t="str">
        <f>"0,7531"</f>
        <v>0,7531</v>
      </c>
      <c r="E76" s="63" t="s">
        <v>17</v>
      </c>
      <c r="F76" s="63" t="s">
        <v>1404</v>
      </c>
      <c r="G76" s="64" t="s">
        <v>32</v>
      </c>
      <c r="H76" s="63" t="s">
        <v>32</v>
      </c>
      <c r="I76" s="64" t="s">
        <v>19</v>
      </c>
      <c r="J76" s="64"/>
      <c r="K76" s="63">
        <v>140</v>
      </c>
      <c r="L76" s="63" t="str">
        <f>"105,4410"</f>
        <v>105,4410</v>
      </c>
      <c r="M76" s="63" t="s">
        <v>1405</v>
      </c>
    </row>
    <row r="77" spans="1:13">
      <c r="A77" s="63" t="s">
        <v>1406</v>
      </c>
      <c r="B77" s="63" t="s">
        <v>1407</v>
      </c>
      <c r="C77" s="63" t="s">
        <v>1403</v>
      </c>
      <c r="D77" s="63" t="str">
        <f>"0,7531"</f>
        <v>0,7531</v>
      </c>
      <c r="E77" s="63" t="s">
        <v>120</v>
      </c>
      <c r="F77" s="63" t="s">
        <v>1408</v>
      </c>
      <c r="G77" s="63" t="s">
        <v>149</v>
      </c>
      <c r="H77" s="63" t="s">
        <v>173</v>
      </c>
      <c r="I77" s="64" t="s">
        <v>32</v>
      </c>
      <c r="J77" s="64"/>
      <c r="K77" s="63">
        <v>130</v>
      </c>
      <c r="L77" s="63" t="str">
        <f>"97,9095"</f>
        <v>97,9095</v>
      </c>
      <c r="M77" s="63"/>
    </row>
    <row r="78" spans="1:13">
      <c r="A78" s="63" t="s">
        <v>1409</v>
      </c>
      <c r="B78" s="63" t="s">
        <v>1410</v>
      </c>
      <c r="C78" s="63" t="s">
        <v>185</v>
      </c>
      <c r="D78" s="63" t="str">
        <f>"0,7581"</f>
        <v>0,7581</v>
      </c>
      <c r="E78" s="63" t="s">
        <v>17</v>
      </c>
      <c r="F78" s="63" t="s">
        <v>1411</v>
      </c>
      <c r="G78" s="63" t="s">
        <v>33</v>
      </c>
      <c r="H78" s="64" t="s">
        <v>20</v>
      </c>
      <c r="I78" s="64" t="s">
        <v>20</v>
      </c>
      <c r="J78" s="64"/>
      <c r="K78" s="63">
        <v>150</v>
      </c>
      <c r="L78" s="63" t="str">
        <f>"113,7075"</f>
        <v>113,7075</v>
      </c>
      <c r="M78" s="63"/>
    </row>
    <row r="79" spans="1:13">
      <c r="A79" s="63" t="s">
        <v>1412</v>
      </c>
      <c r="B79" s="63" t="s">
        <v>1413</v>
      </c>
      <c r="C79" s="63" t="s">
        <v>176</v>
      </c>
      <c r="D79" s="63" t="str">
        <f>"0,7503"</f>
        <v>0,7503</v>
      </c>
      <c r="E79" s="63" t="s">
        <v>17</v>
      </c>
      <c r="F79" s="63" t="s">
        <v>147</v>
      </c>
      <c r="G79" s="63" t="s">
        <v>32</v>
      </c>
      <c r="H79" s="63" t="s">
        <v>19</v>
      </c>
      <c r="I79" s="63" t="s">
        <v>883</v>
      </c>
      <c r="J79" s="64"/>
      <c r="K79" s="63">
        <v>147.5</v>
      </c>
      <c r="L79" s="63" t="str">
        <f>"110,6766"</f>
        <v>110,6766</v>
      </c>
      <c r="M79" s="63"/>
    </row>
    <row r="80" spans="1:13">
      <c r="A80" s="63" t="s">
        <v>1414</v>
      </c>
      <c r="B80" s="63" t="s">
        <v>1415</v>
      </c>
      <c r="C80" s="63" t="s">
        <v>818</v>
      </c>
      <c r="D80" s="63" t="str">
        <f>"0,7590"</f>
        <v>0,7590</v>
      </c>
      <c r="E80" s="63" t="s">
        <v>17</v>
      </c>
      <c r="F80" s="63" t="s">
        <v>206</v>
      </c>
      <c r="G80" s="63" t="s">
        <v>32</v>
      </c>
      <c r="H80" s="63" t="s">
        <v>19</v>
      </c>
      <c r="I80" s="64" t="s">
        <v>883</v>
      </c>
      <c r="J80" s="64"/>
      <c r="K80" s="63">
        <v>145</v>
      </c>
      <c r="L80" s="63" t="str">
        <f>"110,0550"</f>
        <v>110,0550</v>
      </c>
      <c r="M80" s="63"/>
    </row>
    <row r="81" spans="1:13">
      <c r="A81" s="63" t="s">
        <v>1416</v>
      </c>
      <c r="B81" s="63" t="s">
        <v>1417</v>
      </c>
      <c r="C81" s="63" t="s">
        <v>1418</v>
      </c>
      <c r="D81" s="63" t="str">
        <f>"0,7551"</f>
        <v>0,7551</v>
      </c>
      <c r="E81" s="63" t="s">
        <v>17</v>
      </c>
      <c r="F81" s="63" t="s">
        <v>72</v>
      </c>
      <c r="G81" s="63" t="s">
        <v>126</v>
      </c>
      <c r="H81" s="63" t="s">
        <v>400</v>
      </c>
      <c r="I81" s="64" t="s">
        <v>836</v>
      </c>
      <c r="J81" s="64"/>
      <c r="K81" s="63">
        <v>132.5</v>
      </c>
      <c r="L81" s="63" t="str">
        <f>"100,0508"</f>
        <v>100,0508</v>
      </c>
      <c r="M81" s="63"/>
    </row>
    <row r="82" spans="1:13">
      <c r="A82" s="61" t="s">
        <v>1419</v>
      </c>
      <c r="B82" s="61" t="s">
        <v>1420</v>
      </c>
      <c r="C82" s="61" t="s">
        <v>152</v>
      </c>
      <c r="D82" s="61" t="str">
        <f>"1,1425"</f>
        <v>1,1425</v>
      </c>
      <c r="E82" s="61" t="s">
        <v>1421</v>
      </c>
      <c r="F82" s="61" t="s">
        <v>1421</v>
      </c>
      <c r="G82" s="61" t="s">
        <v>136</v>
      </c>
      <c r="H82" s="62" t="s">
        <v>1422</v>
      </c>
      <c r="I82" s="62" t="s">
        <v>1422</v>
      </c>
      <c r="J82" s="62"/>
      <c r="K82" s="61">
        <v>105</v>
      </c>
      <c r="L82" s="61" t="str">
        <f>"119,9590"</f>
        <v>119,9590</v>
      </c>
      <c r="M82" s="61"/>
    </row>
    <row r="84" spans="1:13" ht="15">
      <c r="A84" s="58" t="s">
        <v>189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3">
      <c r="A85" s="59" t="s">
        <v>1423</v>
      </c>
      <c r="B85" s="59" t="s">
        <v>1424</v>
      </c>
      <c r="C85" s="59" t="s">
        <v>830</v>
      </c>
      <c r="D85" s="59" t="str">
        <f>"0,7254"</f>
        <v>0,7254</v>
      </c>
      <c r="E85" s="59" t="s">
        <v>17</v>
      </c>
      <c r="F85" s="59" t="s">
        <v>29</v>
      </c>
      <c r="G85" s="59" t="s">
        <v>132</v>
      </c>
      <c r="H85" s="60" t="s">
        <v>477</v>
      </c>
      <c r="I85" s="59" t="s">
        <v>135</v>
      </c>
      <c r="J85" s="60"/>
      <c r="K85" s="59">
        <v>100</v>
      </c>
      <c r="L85" s="59" t="str">
        <f>"72,5400"</f>
        <v>72,5400</v>
      </c>
      <c r="M85" s="59" t="s">
        <v>137</v>
      </c>
    </row>
    <row r="86" spans="1:13">
      <c r="A86" s="63" t="s">
        <v>1425</v>
      </c>
      <c r="B86" s="63" t="s">
        <v>1426</v>
      </c>
      <c r="C86" s="63" t="s">
        <v>1427</v>
      </c>
      <c r="D86" s="63" t="str">
        <f>"0,7079"</f>
        <v>0,7079</v>
      </c>
      <c r="E86" s="63" t="s">
        <v>17</v>
      </c>
      <c r="F86" s="63" t="s">
        <v>29</v>
      </c>
      <c r="G86" s="63" t="s">
        <v>160</v>
      </c>
      <c r="H86" s="63" t="s">
        <v>126</v>
      </c>
      <c r="I86" s="63" t="s">
        <v>817</v>
      </c>
      <c r="J86" s="64"/>
      <c r="K86" s="63">
        <v>127.5</v>
      </c>
      <c r="L86" s="63" t="str">
        <f>"90,2572"</f>
        <v>90,2572</v>
      </c>
      <c r="M86" s="63" t="s">
        <v>137</v>
      </c>
    </row>
    <row r="87" spans="1:13">
      <c r="A87" s="63" t="s">
        <v>1428</v>
      </c>
      <c r="B87" s="63" t="s">
        <v>1429</v>
      </c>
      <c r="C87" s="63" t="s">
        <v>851</v>
      </c>
      <c r="D87" s="63" t="str">
        <f>"0,7005"</f>
        <v>0,7005</v>
      </c>
      <c r="E87" s="63" t="s">
        <v>17</v>
      </c>
      <c r="F87" s="63" t="s">
        <v>1430</v>
      </c>
      <c r="G87" s="63" t="s">
        <v>126</v>
      </c>
      <c r="H87" s="63" t="s">
        <v>24</v>
      </c>
      <c r="I87" s="64" t="s">
        <v>32</v>
      </c>
      <c r="J87" s="64"/>
      <c r="K87" s="63">
        <v>135</v>
      </c>
      <c r="L87" s="63" t="str">
        <f>"94,5608"</f>
        <v>94,5608</v>
      </c>
      <c r="M87" s="63"/>
    </row>
    <row r="88" spans="1:13">
      <c r="A88" s="63" t="s">
        <v>1431</v>
      </c>
      <c r="B88" s="63" t="s">
        <v>1432</v>
      </c>
      <c r="C88" s="63" t="s">
        <v>842</v>
      </c>
      <c r="D88" s="63" t="str">
        <f>"0,7071"</f>
        <v>0,7071</v>
      </c>
      <c r="E88" s="63" t="s">
        <v>17</v>
      </c>
      <c r="F88" s="63" t="s">
        <v>1433</v>
      </c>
      <c r="G88" s="63" t="s">
        <v>135</v>
      </c>
      <c r="H88" s="64" t="s">
        <v>22</v>
      </c>
      <c r="I88" s="63" t="s">
        <v>22</v>
      </c>
      <c r="J88" s="64"/>
      <c r="K88" s="63">
        <v>110</v>
      </c>
      <c r="L88" s="63" t="str">
        <f>"77,7810"</f>
        <v>77,7810</v>
      </c>
      <c r="M88" s="63"/>
    </row>
    <row r="89" spans="1:13">
      <c r="A89" s="63" t="s">
        <v>1434</v>
      </c>
      <c r="B89" s="63" t="s">
        <v>1435</v>
      </c>
      <c r="C89" s="63" t="s">
        <v>499</v>
      </c>
      <c r="D89" s="63" t="str">
        <f>"0,6975"</f>
        <v>0,6975</v>
      </c>
      <c r="E89" s="63" t="s">
        <v>17</v>
      </c>
      <c r="F89" s="63" t="s">
        <v>1404</v>
      </c>
      <c r="G89" s="64" t="s">
        <v>83</v>
      </c>
      <c r="H89" s="64"/>
      <c r="I89" s="64"/>
      <c r="J89" s="64"/>
      <c r="K89" s="63">
        <v>0</v>
      </c>
      <c r="L89" s="63" t="str">
        <f>"0,0000"</f>
        <v>0,0000</v>
      </c>
      <c r="M89" s="63" t="s">
        <v>1405</v>
      </c>
    </row>
    <row r="90" spans="1:13">
      <c r="A90" s="63" t="s">
        <v>1436</v>
      </c>
      <c r="B90" s="63" t="s">
        <v>1437</v>
      </c>
      <c r="C90" s="63" t="s">
        <v>192</v>
      </c>
      <c r="D90" s="63" t="str">
        <f>"0,6885"</f>
        <v>0,6885</v>
      </c>
      <c r="E90" s="63" t="s">
        <v>17</v>
      </c>
      <c r="F90" s="63" t="s">
        <v>1438</v>
      </c>
      <c r="G90" s="63" t="s">
        <v>43</v>
      </c>
      <c r="H90" s="63" t="s">
        <v>21</v>
      </c>
      <c r="I90" s="63" t="s">
        <v>67</v>
      </c>
      <c r="J90" s="64"/>
      <c r="K90" s="63">
        <v>185</v>
      </c>
      <c r="L90" s="63" t="str">
        <f>"127,3817"</f>
        <v>127,3817</v>
      </c>
      <c r="M90" s="63"/>
    </row>
    <row r="91" spans="1:13">
      <c r="A91" s="63" t="s">
        <v>1439</v>
      </c>
      <c r="B91" s="63" t="s">
        <v>1440</v>
      </c>
      <c r="C91" s="63" t="s">
        <v>1441</v>
      </c>
      <c r="D91" s="63" t="str">
        <f>"0,6906"</f>
        <v>0,6906</v>
      </c>
      <c r="E91" s="63" t="s">
        <v>17</v>
      </c>
      <c r="F91" s="63" t="s">
        <v>1442</v>
      </c>
      <c r="G91" s="63" t="s">
        <v>33</v>
      </c>
      <c r="H91" s="63" t="s">
        <v>20</v>
      </c>
      <c r="I91" s="63" t="s">
        <v>43</v>
      </c>
      <c r="J91" s="64"/>
      <c r="K91" s="63">
        <v>170</v>
      </c>
      <c r="L91" s="63" t="str">
        <f>"117,4020"</f>
        <v>117,4020</v>
      </c>
      <c r="M91" s="63"/>
    </row>
    <row r="92" spans="1:13">
      <c r="A92" s="63" t="s">
        <v>1443</v>
      </c>
      <c r="B92" s="63" t="s">
        <v>1444</v>
      </c>
      <c r="C92" s="63" t="s">
        <v>1345</v>
      </c>
      <c r="D92" s="63" t="str">
        <f>"0,7262"</f>
        <v>0,7262</v>
      </c>
      <c r="E92" s="63" t="s">
        <v>17</v>
      </c>
      <c r="F92" s="63" t="s">
        <v>1445</v>
      </c>
      <c r="G92" s="63" t="s">
        <v>33</v>
      </c>
      <c r="H92" s="63" t="s">
        <v>20</v>
      </c>
      <c r="I92" s="63" t="s">
        <v>42</v>
      </c>
      <c r="J92" s="64"/>
      <c r="K92" s="63">
        <v>165</v>
      </c>
      <c r="L92" s="63" t="str">
        <f>"119,8312"</f>
        <v>119,8312</v>
      </c>
      <c r="M92" s="63"/>
    </row>
    <row r="93" spans="1:13">
      <c r="A93" s="63" t="s">
        <v>1446</v>
      </c>
      <c r="B93" s="63" t="s">
        <v>1447</v>
      </c>
      <c r="C93" s="63" t="s">
        <v>1448</v>
      </c>
      <c r="D93" s="63" t="str">
        <f>"0,6990"</f>
        <v>0,6990</v>
      </c>
      <c r="E93" s="63" t="s">
        <v>17</v>
      </c>
      <c r="F93" s="63" t="s">
        <v>1433</v>
      </c>
      <c r="G93" s="64" t="s">
        <v>32</v>
      </c>
      <c r="H93" s="63" t="s">
        <v>32</v>
      </c>
      <c r="I93" s="64" t="s">
        <v>19</v>
      </c>
      <c r="J93" s="64"/>
      <c r="K93" s="63">
        <v>140</v>
      </c>
      <c r="L93" s="63" t="str">
        <f>"97,8600"</f>
        <v>97,8600</v>
      </c>
      <c r="M93" s="63"/>
    </row>
    <row r="94" spans="1:13">
      <c r="A94" s="63" t="s">
        <v>1449</v>
      </c>
      <c r="B94" s="63" t="s">
        <v>1450</v>
      </c>
      <c r="C94" s="63" t="s">
        <v>1451</v>
      </c>
      <c r="D94" s="63" t="str">
        <f>"0,7086"</f>
        <v>0,7086</v>
      </c>
      <c r="E94" s="63" t="s">
        <v>17</v>
      </c>
      <c r="F94" s="63" t="s">
        <v>1433</v>
      </c>
      <c r="G94" s="64" t="s">
        <v>33</v>
      </c>
      <c r="H94" s="64" t="s">
        <v>33</v>
      </c>
      <c r="I94" s="64" t="s">
        <v>33</v>
      </c>
      <c r="J94" s="64"/>
      <c r="K94" s="63">
        <v>0</v>
      </c>
      <c r="L94" s="63" t="str">
        <f>"0,0000"</f>
        <v>0,0000</v>
      </c>
      <c r="M94" s="63"/>
    </row>
    <row r="95" spans="1:13">
      <c r="A95" s="63" t="s">
        <v>1452</v>
      </c>
      <c r="B95" s="63" t="s">
        <v>1453</v>
      </c>
      <c r="C95" s="63" t="s">
        <v>1454</v>
      </c>
      <c r="D95" s="63" t="str">
        <f>"0,7134"</f>
        <v>0,7134</v>
      </c>
      <c r="E95" s="63" t="s">
        <v>17</v>
      </c>
      <c r="F95" s="63" t="s">
        <v>1455</v>
      </c>
      <c r="G95" s="63" t="s">
        <v>34</v>
      </c>
      <c r="H95" s="63" t="s">
        <v>20</v>
      </c>
      <c r="I95" s="63" t="s">
        <v>178</v>
      </c>
      <c r="J95" s="64" t="s">
        <v>42</v>
      </c>
      <c r="K95" s="63">
        <v>162.5</v>
      </c>
      <c r="L95" s="63" t="str">
        <f>"115,9276"</f>
        <v>115,9276</v>
      </c>
      <c r="M95" s="63"/>
    </row>
    <row r="96" spans="1:13">
      <c r="A96" s="63" t="s">
        <v>1456</v>
      </c>
      <c r="B96" s="63" t="s">
        <v>1457</v>
      </c>
      <c r="C96" s="63" t="s">
        <v>684</v>
      </c>
      <c r="D96" s="63" t="str">
        <f>"0,7267"</f>
        <v>0,7267</v>
      </c>
      <c r="E96" s="63" t="s">
        <v>17</v>
      </c>
      <c r="F96" s="63" t="s">
        <v>1408</v>
      </c>
      <c r="G96" s="63" t="s">
        <v>270</v>
      </c>
      <c r="H96" s="63" t="s">
        <v>126</v>
      </c>
      <c r="I96" s="64" t="s">
        <v>173</v>
      </c>
      <c r="J96" s="64"/>
      <c r="K96" s="63">
        <v>125</v>
      </c>
      <c r="L96" s="63" t="str">
        <f>"90,8437"</f>
        <v>90,8437</v>
      </c>
      <c r="M96" s="63"/>
    </row>
    <row r="97" spans="1:13">
      <c r="A97" s="63" t="s">
        <v>1458</v>
      </c>
      <c r="B97" s="63" t="s">
        <v>1459</v>
      </c>
      <c r="C97" s="63" t="s">
        <v>199</v>
      </c>
      <c r="D97" s="63" t="str">
        <f>"0,9072"</f>
        <v>0,9072</v>
      </c>
      <c r="E97" s="63" t="s">
        <v>120</v>
      </c>
      <c r="F97" s="63" t="s">
        <v>72</v>
      </c>
      <c r="G97" s="63" t="s">
        <v>173</v>
      </c>
      <c r="H97" s="63" t="s">
        <v>355</v>
      </c>
      <c r="I97" s="64" t="s">
        <v>19</v>
      </c>
      <c r="J97" s="64"/>
      <c r="K97" s="63">
        <v>137.5</v>
      </c>
      <c r="L97" s="63" t="str">
        <f>"124,7425"</f>
        <v>124,7425</v>
      </c>
      <c r="M97" s="63"/>
    </row>
    <row r="98" spans="1:13">
      <c r="A98" s="63" t="s">
        <v>1405</v>
      </c>
      <c r="B98" s="63" t="s">
        <v>1460</v>
      </c>
      <c r="C98" s="63" t="s">
        <v>1454</v>
      </c>
      <c r="D98" s="63" t="str">
        <f>"1,1140"</f>
        <v>1,1140</v>
      </c>
      <c r="E98" s="63" t="s">
        <v>17</v>
      </c>
      <c r="F98" s="63" t="s">
        <v>1404</v>
      </c>
      <c r="G98" s="63" t="s">
        <v>23</v>
      </c>
      <c r="H98" s="64" t="s">
        <v>817</v>
      </c>
      <c r="I98" s="64" t="s">
        <v>817</v>
      </c>
      <c r="J98" s="64"/>
      <c r="K98" s="63">
        <v>122.5</v>
      </c>
      <c r="L98" s="63" t="str">
        <f>"136,4698"</f>
        <v>136,4698</v>
      </c>
      <c r="M98" s="63"/>
    </row>
    <row r="99" spans="1:13">
      <c r="A99" s="61" t="s">
        <v>1461</v>
      </c>
      <c r="B99" s="61" t="s">
        <v>1462</v>
      </c>
      <c r="C99" s="61" t="s">
        <v>839</v>
      </c>
      <c r="D99" s="61" t="str">
        <f>"1,2539"</f>
        <v>1,2539</v>
      </c>
      <c r="E99" s="61" t="s">
        <v>17</v>
      </c>
      <c r="F99" s="61" t="s">
        <v>29</v>
      </c>
      <c r="G99" s="61" t="s">
        <v>187</v>
      </c>
      <c r="H99" s="62" t="s">
        <v>270</v>
      </c>
      <c r="I99" s="61" t="s">
        <v>270</v>
      </c>
      <c r="J99" s="62"/>
      <c r="K99" s="61">
        <v>117.5</v>
      </c>
      <c r="L99" s="61" t="str">
        <f>"147,3299"</f>
        <v>147,3299</v>
      </c>
      <c r="M99" s="61"/>
    </row>
    <row r="101" spans="1:13" ht="15">
      <c r="A101" s="58" t="s">
        <v>13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3">
      <c r="A102" s="59" t="s">
        <v>1463</v>
      </c>
      <c r="B102" s="59" t="s">
        <v>1464</v>
      </c>
      <c r="C102" s="59" t="s">
        <v>1156</v>
      </c>
      <c r="D102" s="59" t="str">
        <f>"0,6646"</f>
        <v>0,6646</v>
      </c>
      <c r="E102" s="59" t="s">
        <v>17</v>
      </c>
      <c r="F102" s="59" t="s">
        <v>1324</v>
      </c>
      <c r="G102" s="59" t="s">
        <v>19</v>
      </c>
      <c r="H102" s="59" t="s">
        <v>33</v>
      </c>
      <c r="I102" s="59" t="s">
        <v>34</v>
      </c>
      <c r="J102" s="60"/>
      <c r="K102" s="59">
        <v>155</v>
      </c>
      <c r="L102" s="59" t="str">
        <f>"103,0130"</f>
        <v>103,0130</v>
      </c>
      <c r="M102" s="59" t="s">
        <v>1325</v>
      </c>
    </row>
    <row r="103" spans="1:13">
      <c r="A103" s="63" t="s">
        <v>1465</v>
      </c>
      <c r="B103" s="63" t="s">
        <v>1466</v>
      </c>
      <c r="C103" s="63" t="s">
        <v>1467</v>
      </c>
      <c r="D103" s="63" t="str">
        <f>"0,6567"</f>
        <v>0,6567</v>
      </c>
      <c r="E103" s="63" t="s">
        <v>120</v>
      </c>
      <c r="F103" s="63" t="s">
        <v>1468</v>
      </c>
      <c r="G103" s="64" t="s">
        <v>19</v>
      </c>
      <c r="H103" s="63" t="s">
        <v>19</v>
      </c>
      <c r="I103" s="63" t="s">
        <v>265</v>
      </c>
      <c r="J103" s="64"/>
      <c r="K103" s="63">
        <v>152.5</v>
      </c>
      <c r="L103" s="63" t="str">
        <f>"100,1468"</f>
        <v>100,1468</v>
      </c>
      <c r="M103" s="63"/>
    </row>
    <row r="104" spans="1:13">
      <c r="A104" s="63" t="s">
        <v>1469</v>
      </c>
      <c r="B104" s="63" t="s">
        <v>1470</v>
      </c>
      <c r="C104" s="63" t="s">
        <v>1471</v>
      </c>
      <c r="D104" s="63" t="str">
        <f>"0,6600"</f>
        <v>0,6600</v>
      </c>
      <c r="E104" s="63" t="s">
        <v>120</v>
      </c>
      <c r="F104" s="63" t="s">
        <v>153</v>
      </c>
      <c r="G104" s="63" t="s">
        <v>883</v>
      </c>
      <c r="H104" s="64" t="s">
        <v>265</v>
      </c>
      <c r="I104" s="64" t="s">
        <v>265</v>
      </c>
      <c r="J104" s="64"/>
      <c r="K104" s="63">
        <v>147.5</v>
      </c>
      <c r="L104" s="63" t="str">
        <f>"97,3574"</f>
        <v>97,3574</v>
      </c>
      <c r="M104" s="63" t="s">
        <v>1387</v>
      </c>
    </row>
    <row r="105" spans="1:13">
      <c r="A105" s="63" t="s">
        <v>1472</v>
      </c>
      <c r="B105" s="63" t="s">
        <v>1473</v>
      </c>
      <c r="C105" s="63" t="s">
        <v>886</v>
      </c>
      <c r="D105" s="63" t="str">
        <f>"0,6451"</f>
        <v>0,6451</v>
      </c>
      <c r="E105" s="63" t="s">
        <v>120</v>
      </c>
      <c r="F105" s="63" t="s">
        <v>441</v>
      </c>
      <c r="G105" s="63" t="s">
        <v>179</v>
      </c>
      <c r="H105" s="63" t="s">
        <v>235</v>
      </c>
      <c r="I105" s="64" t="s">
        <v>21</v>
      </c>
      <c r="J105" s="64"/>
      <c r="K105" s="63">
        <v>172.5</v>
      </c>
      <c r="L105" s="63" t="str">
        <f>"111,2797"</f>
        <v>111,2797</v>
      </c>
      <c r="M105" s="63"/>
    </row>
    <row r="106" spans="1:13">
      <c r="A106" s="63" t="s">
        <v>1474</v>
      </c>
      <c r="B106" s="63" t="s">
        <v>1475</v>
      </c>
      <c r="C106" s="63" t="s">
        <v>515</v>
      </c>
      <c r="D106" s="63" t="str">
        <f>"0,6545"</f>
        <v>0,6545</v>
      </c>
      <c r="E106" s="63" t="s">
        <v>17</v>
      </c>
      <c r="F106" s="63" t="s">
        <v>955</v>
      </c>
      <c r="G106" s="63" t="s">
        <v>43</v>
      </c>
      <c r="H106" s="63" t="s">
        <v>625</v>
      </c>
      <c r="I106" s="63" t="s">
        <v>21</v>
      </c>
      <c r="J106" s="64"/>
      <c r="K106" s="63">
        <v>180</v>
      </c>
      <c r="L106" s="63" t="str">
        <f>"117,8100"</f>
        <v>117,8100</v>
      </c>
      <c r="M106" s="63"/>
    </row>
    <row r="107" spans="1:13">
      <c r="A107" s="63" t="s">
        <v>1476</v>
      </c>
      <c r="B107" s="63" t="s">
        <v>1477</v>
      </c>
      <c r="C107" s="63" t="s">
        <v>1471</v>
      </c>
      <c r="D107" s="63" t="str">
        <f>"0,6600"</f>
        <v>0,6600</v>
      </c>
      <c r="E107" s="63" t="s">
        <v>17</v>
      </c>
      <c r="F107" s="63" t="s">
        <v>1272</v>
      </c>
      <c r="G107" s="63" t="s">
        <v>43</v>
      </c>
      <c r="H107" s="63" t="s">
        <v>235</v>
      </c>
      <c r="I107" s="64" t="s">
        <v>625</v>
      </c>
      <c r="J107" s="64"/>
      <c r="K107" s="63">
        <v>172.5</v>
      </c>
      <c r="L107" s="63" t="str">
        <f>"113,8586"</f>
        <v>113,8586</v>
      </c>
      <c r="M107" s="63"/>
    </row>
    <row r="108" spans="1:13">
      <c r="A108" s="63" t="s">
        <v>1478</v>
      </c>
      <c r="B108" s="63" t="s">
        <v>1479</v>
      </c>
      <c r="C108" s="63" t="s">
        <v>1480</v>
      </c>
      <c r="D108" s="63" t="str">
        <f>"0,6773"</f>
        <v>0,6773</v>
      </c>
      <c r="E108" s="63" t="s">
        <v>17</v>
      </c>
      <c r="F108" s="63" t="s">
        <v>1481</v>
      </c>
      <c r="G108" s="63" t="s">
        <v>33</v>
      </c>
      <c r="H108" s="63" t="s">
        <v>20</v>
      </c>
      <c r="I108" s="64" t="s">
        <v>42</v>
      </c>
      <c r="J108" s="64"/>
      <c r="K108" s="63">
        <v>160</v>
      </c>
      <c r="L108" s="63" t="str">
        <f>"108,3760"</f>
        <v>108,3760</v>
      </c>
      <c r="M108" s="63"/>
    </row>
    <row r="109" spans="1:13">
      <c r="A109" s="63" t="s">
        <v>1482</v>
      </c>
      <c r="B109" s="63" t="s">
        <v>1483</v>
      </c>
      <c r="C109" s="63" t="s">
        <v>882</v>
      </c>
      <c r="D109" s="63" t="str">
        <f>"0,6477"</f>
        <v>0,6477</v>
      </c>
      <c r="E109" s="63" t="s">
        <v>17</v>
      </c>
      <c r="F109" s="63" t="s">
        <v>786</v>
      </c>
      <c r="G109" s="63" t="s">
        <v>173</v>
      </c>
      <c r="H109" s="63" t="s">
        <v>19</v>
      </c>
      <c r="I109" s="64" t="s">
        <v>33</v>
      </c>
      <c r="J109" s="64"/>
      <c r="K109" s="63">
        <v>145</v>
      </c>
      <c r="L109" s="63" t="str">
        <f>"93,9093"</f>
        <v>93,9093</v>
      </c>
      <c r="M109" s="63"/>
    </row>
    <row r="110" spans="1:13">
      <c r="A110" s="63" t="s">
        <v>1484</v>
      </c>
      <c r="B110" s="63" t="s">
        <v>1485</v>
      </c>
      <c r="C110" s="63" t="s">
        <v>862</v>
      </c>
      <c r="D110" s="63" t="str">
        <f>"0,6629"</f>
        <v>0,6629</v>
      </c>
      <c r="E110" s="63" t="s">
        <v>17</v>
      </c>
      <c r="F110" s="63" t="s">
        <v>464</v>
      </c>
      <c r="G110" s="63" t="s">
        <v>24</v>
      </c>
      <c r="H110" s="64" t="s">
        <v>19</v>
      </c>
      <c r="I110" s="64" t="s">
        <v>19</v>
      </c>
      <c r="J110" s="64"/>
      <c r="K110" s="63">
        <v>135</v>
      </c>
      <c r="L110" s="63" t="str">
        <f>"89,4915"</f>
        <v>89,4915</v>
      </c>
      <c r="M110" s="63"/>
    </row>
    <row r="111" spans="1:13">
      <c r="A111" s="63" t="s">
        <v>1486</v>
      </c>
      <c r="B111" s="63" t="s">
        <v>1487</v>
      </c>
      <c r="C111" s="63" t="s">
        <v>1488</v>
      </c>
      <c r="D111" s="63" t="str">
        <f>"0,6761"</f>
        <v>0,6761</v>
      </c>
      <c r="E111" s="63" t="s">
        <v>584</v>
      </c>
      <c r="F111" s="63" t="s">
        <v>72</v>
      </c>
      <c r="G111" s="63" t="s">
        <v>149</v>
      </c>
      <c r="H111" s="63" t="s">
        <v>173</v>
      </c>
      <c r="I111" s="64" t="s">
        <v>32</v>
      </c>
      <c r="J111" s="64"/>
      <c r="K111" s="63">
        <v>130</v>
      </c>
      <c r="L111" s="63" t="str">
        <f>"87,8930"</f>
        <v>87,8930</v>
      </c>
      <c r="M111" s="63"/>
    </row>
    <row r="112" spans="1:13">
      <c r="A112" s="63" t="s">
        <v>1489</v>
      </c>
      <c r="B112" s="63" t="s">
        <v>1490</v>
      </c>
      <c r="C112" s="63" t="s">
        <v>210</v>
      </c>
      <c r="D112" s="63" t="str">
        <f>"0,6524"</f>
        <v>0,6524</v>
      </c>
      <c r="E112" s="63" t="s">
        <v>17</v>
      </c>
      <c r="F112" s="63" t="s">
        <v>1491</v>
      </c>
      <c r="G112" s="64" t="s">
        <v>32</v>
      </c>
      <c r="H112" s="64" t="s">
        <v>19</v>
      </c>
      <c r="I112" s="64" t="s">
        <v>19</v>
      </c>
      <c r="J112" s="64"/>
      <c r="K112" s="63">
        <v>0</v>
      </c>
      <c r="L112" s="63" t="str">
        <f>"0,0000"</f>
        <v>0,0000</v>
      </c>
      <c r="M112" s="63"/>
    </row>
    <row r="113" spans="1:13">
      <c r="A113" s="63" t="s">
        <v>1492</v>
      </c>
      <c r="B113" s="63" t="s">
        <v>1493</v>
      </c>
      <c r="C113" s="63" t="s">
        <v>512</v>
      </c>
      <c r="D113" s="63" t="str">
        <f>"0,6497"</f>
        <v>0,6497</v>
      </c>
      <c r="E113" s="63" t="s">
        <v>17</v>
      </c>
      <c r="F113" s="63" t="s">
        <v>153</v>
      </c>
      <c r="G113" s="64" t="s">
        <v>625</v>
      </c>
      <c r="H113" s="64" t="s">
        <v>625</v>
      </c>
      <c r="I113" s="64" t="s">
        <v>625</v>
      </c>
      <c r="J113" s="64"/>
      <c r="K113" s="63">
        <v>0</v>
      </c>
      <c r="L113" s="63" t="str">
        <f>"0,0000"</f>
        <v>0,0000</v>
      </c>
      <c r="M113" s="63"/>
    </row>
    <row r="114" spans="1:13">
      <c r="A114" s="63" t="s">
        <v>1494</v>
      </c>
      <c r="B114" s="63" t="s">
        <v>1495</v>
      </c>
      <c r="C114" s="63" t="s">
        <v>16</v>
      </c>
      <c r="D114" s="63" t="str">
        <f>"0,6446"</f>
        <v>0,6446</v>
      </c>
      <c r="E114" s="63" t="s">
        <v>17</v>
      </c>
      <c r="F114" s="63" t="s">
        <v>1404</v>
      </c>
      <c r="G114" s="64" t="s">
        <v>31</v>
      </c>
      <c r="H114" s="64"/>
      <c r="I114" s="64"/>
      <c r="J114" s="64"/>
      <c r="K114" s="63">
        <v>0</v>
      </c>
      <c r="L114" s="63" t="str">
        <f>"0,0000"</f>
        <v>0,0000</v>
      </c>
      <c r="M114" s="63"/>
    </row>
    <row r="115" spans="1:13">
      <c r="A115" s="63" t="s">
        <v>1496</v>
      </c>
      <c r="B115" s="63" t="s">
        <v>514</v>
      </c>
      <c r="C115" s="63" t="s">
        <v>515</v>
      </c>
      <c r="D115" s="63" t="str">
        <f>"0,7180"</f>
        <v>0,7180</v>
      </c>
      <c r="E115" s="63" t="s">
        <v>120</v>
      </c>
      <c r="F115" s="63" t="s">
        <v>1320</v>
      </c>
      <c r="G115" s="63" t="s">
        <v>33</v>
      </c>
      <c r="H115" s="63" t="s">
        <v>34</v>
      </c>
      <c r="I115" s="64" t="s">
        <v>20</v>
      </c>
      <c r="J115" s="64"/>
      <c r="K115" s="63">
        <v>155</v>
      </c>
      <c r="L115" s="63" t="str">
        <f>"111,2879"</f>
        <v>111,2879</v>
      </c>
      <c r="M115" s="63"/>
    </row>
    <row r="116" spans="1:13">
      <c r="A116" s="63" t="s">
        <v>1497</v>
      </c>
      <c r="B116" s="63" t="s">
        <v>1498</v>
      </c>
      <c r="C116" s="63" t="s">
        <v>1499</v>
      </c>
      <c r="D116" s="63" t="str">
        <f>"0,7578"</f>
        <v>0,7578</v>
      </c>
      <c r="E116" s="63" t="s">
        <v>532</v>
      </c>
      <c r="F116" s="63" t="s">
        <v>533</v>
      </c>
      <c r="G116" s="63" t="s">
        <v>122</v>
      </c>
      <c r="H116" s="64" t="s">
        <v>160</v>
      </c>
      <c r="I116" s="64" t="s">
        <v>160</v>
      </c>
      <c r="J116" s="64"/>
      <c r="K116" s="63">
        <v>102.5</v>
      </c>
      <c r="L116" s="63" t="str">
        <f>"77,6722"</f>
        <v>77,6722</v>
      </c>
      <c r="M116" s="63"/>
    </row>
    <row r="117" spans="1:13">
      <c r="A117" s="63" t="s">
        <v>1500</v>
      </c>
      <c r="B117" s="63" t="s">
        <v>1501</v>
      </c>
      <c r="C117" s="63" t="s">
        <v>1502</v>
      </c>
      <c r="D117" s="63" t="str">
        <f>"0,8526"</f>
        <v>0,8526</v>
      </c>
      <c r="E117" s="63" t="s">
        <v>163</v>
      </c>
      <c r="F117" s="63" t="s">
        <v>164</v>
      </c>
      <c r="G117" s="63" t="s">
        <v>22</v>
      </c>
      <c r="H117" s="63" t="s">
        <v>160</v>
      </c>
      <c r="I117" s="64" t="s">
        <v>149</v>
      </c>
      <c r="J117" s="64"/>
      <c r="K117" s="63">
        <v>115</v>
      </c>
      <c r="L117" s="63" t="str">
        <f>"98,0494"</f>
        <v>98,0494</v>
      </c>
      <c r="M117" s="63"/>
    </row>
    <row r="118" spans="1:13">
      <c r="A118" s="61" t="s">
        <v>1503</v>
      </c>
      <c r="B118" s="61" t="s">
        <v>1504</v>
      </c>
      <c r="C118" s="61" t="s">
        <v>1505</v>
      </c>
      <c r="D118" s="61" t="str">
        <f>"0,8792"</f>
        <v>0,8792</v>
      </c>
      <c r="E118" s="61" t="s">
        <v>120</v>
      </c>
      <c r="F118" s="61" t="s">
        <v>72</v>
      </c>
      <c r="G118" s="61" t="s">
        <v>32</v>
      </c>
      <c r="H118" s="61" t="s">
        <v>19</v>
      </c>
      <c r="I118" s="61" t="s">
        <v>33</v>
      </c>
      <c r="J118" s="62"/>
      <c r="K118" s="61">
        <v>150</v>
      </c>
      <c r="L118" s="61" t="str">
        <f>"131,8861"</f>
        <v>131,8861</v>
      </c>
      <c r="M118" s="61"/>
    </row>
    <row r="120" spans="1:13" ht="15">
      <c r="A120" s="58" t="s">
        <v>25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3">
      <c r="A121" s="59" t="s">
        <v>1506</v>
      </c>
      <c r="B121" s="59" t="s">
        <v>1507</v>
      </c>
      <c r="C121" s="59" t="s">
        <v>1238</v>
      </c>
      <c r="D121" s="59" t="str">
        <f>"0,6263"</f>
        <v>0,6263</v>
      </c>
      <c r="E121" s="59" t="s">
        <v>17</v>
      </c>
      <c r="F121" s="59" t="s">
        <v>153</v>
      </c>
      <c r="G121" s="60" t="s">
        <v>883</v>
      </c>
      <c r="H121" s="59" t="s">
        <v>883</v>
      </c>
      <c r="I121" s="59" t="s">
        <v>265</v>
      </c>
      <c r="J121" s="60"/>
      <c r="K121" s="59">
        <v>152.5</v>
      </c>
      <c r="L121" s="59" t="str">
        <f>"95,5184"</f>
        <v>95,5184</v>
      </c>
      <c r="M121" s="59"/>
    </row>
    <row r="122" spans="1:13">
      <c r="A122" s="63" t="s">
        <v>1508</v>
      </c>
      <c r="B122" s="63" t="s">
        <v>1509</v>
      </c>
      <c r="C122" s="63" t="s">
        <v>1510</v>
      </c>
      <c r="D122" s="63" t="str">
        <f>"0,6277"</f>
        <v>0,6277</v>
      </c>
      <c r="E122" s="63" t="s">
        <v>17</v>
      </c>
      <c r="F122" s="63" t="s">
        <v>153</v>
      </c>
      <c r="G122" s="64" t="s">
        <v>126</v>
      </c>
      <c r="H122" s="63" t="s">
        <v>126</v>
      </c>
      <c r="I122" s="64" t="s">
        <v>400</v>
      </c>
      <c r="J122" s="64"/>
      <c r="K122" s="63">
        <v>125</v>
      </c>
      <c r="L122" s="63" t="str">
        <f>"78,4625"</f>
        <v>78,4625</v>
      </c>
      <c r="M122" s="63"/>
    </row>
    <row r="123" spans="1:13">
      <c r="A123" s="63" t="s">
        <v>1511</v>
      </c>
      <c r="B123" s="63" t="s">
        <v>1512</v>
      </c>
      <c r="C123" s="63" t="s">
        <v>1513</v>
      </c>
      <c r="D123" s="63" t="str">
        <f>"0,6259"</f>
        <v>0,6259</v>
      </c>
      <c r="E123" s="63" t="s">
        <v>17</v>
      </c>
      <c r="F123" s="63" t="s">
        <v>392</v>
      </c>
      <c r="G123" s="64" t="s">
        <v>126</v>
      </c>
      <c r="H123" s="63" t="s">
        <v>126</v>
      </c>
      <c r="I123" s="64" t="s">
        <v>400</v>
      </c>
      <c r="J123" s="64"/>
      <c r="K123" s="63">
        <v>125</v>
      </c>
      <c r="L123" s="63" t="str">
        <f>"78,2437"</f>
        <v>78,2437</v>
      </c>
      <c r="M123" s="63" t="s">
        <v>389</v>
      </c>
    </row>
    <row r="124" spans="1:13">
      <c r="A124" s="63" t="s">
        <v>1514</v>
      </c>
      <c r="B124" s="63" t="s">
        <v>1515</v>
      </c>
      <c r="C124" s="63" t="s">
        <v>913</v>
      </c>
      <c r="D124" s="63" t="str">
        <f>"0,6137"</f>
        <v>0,6137</v>
      </c>
      <c r="E124" s="63" t="s">
        <v>17</v>
      </c>
      <c r="F124" s="63" t="s">
        <v>51</v>
      </c>
      <c r="G124" s="63" t="s">
        <v>378</v>
      </c>
      <c r="H124" s="64" t="s">
        <v>848</v>
      </c>
      <c r="I124" s="64" t="s">
        <v>848</v>
      </c>
      <c r="J124" s="64"/>
      <c r="K124" s="63">
        <v>212.5</v>
      </c>
      <c r="L124" s="63" t="str">
        <f>"130,4219"</f>
        <v>130,4219</v>
      </c>
      <c r="M124" s="63"/>
    </row>
    <row r="125" spans="1:13">
      <c r="A125" s="63" t="s">
        <v>1516</v>
      </c>
      <c r="B125" s="63" t="s">
        <v>1517</v>
      </c>
      <c r="C125" s="63" t="s">
        <v>922</v>
      </c>
      <c r="D125" s="63" t="str">
        <f>"0,6165"</f>
        <v>0,6165</v>
      </c>
      <c r="E125" s="63" t="s">
        <v>17</v>
      </c>
      <c r="F125" s="63" t="s">
        <v>1518</v>
      </c>
      <c r="G125" s="63" t="s">
        <v>21</v>
      </c>
      <c r="H125" s="64" t="s">
        <v>83</v>
      </c>
      <c r="I125" s="64" t="s">
        <v>831</v>
      </c>
      <c r="J125" s="64"/>
      <c r="K125" s="63">
        <v>180</v>
      </c>
      <c r="L125" s="63" t="str">
        <f>"110,9610"</f>
        <v>110,9610</v>
      </c>
      <c r="M125" s="63"/>
    </row>
    <row r="126" spans="1:13">
      <c r="A126" s="63" t="s">
        <v>1519</v>
      </c>
      <c r="B126" s="63" t="s">
        <v>1520</v>
      </c>
      <c r="C126" s="63" t="s">
        <v>922</v>
      </c>
      <c r="D126" s="63" t="str">
        <f>"0,6165"</f>
        <v>0,6165</v>
      </c>
      <c r="E126" s="63" t="s">
        <v>17</v>
      </c>
      <c r="F126" s="63" t="s">
        <v>159</v>
      </c>
      <c r="G126" s="63" t="s">
        <v>235</v>
      </c>
      <c r="H126" s="63" t="s">
        <v>54</v>
      </c>
      <c r="I126" s="64" t="s">
        <v>625</v>
      </c>
      <c r="J126" s="64"/>
      <c r="K126" s="63">
        <v>175</v>
      </c>
      <c r="L126" s="63" t="str">
        <f>"107,8788"</f>
        <v>107,8788</v>
      </c>
      <c r="M126" s="63"/>
    </row>
    <row r="127" spans="1:13">
      <c r="A127" s="63" t="s">
        <v>1521</v>
      </c>
      <c r="B127" s="63" t="s">
        <v>1522</v>
      </c>
      <c r="C127" s="63" t="s">
        <v>444</v>
      </c>
      <c r="D127" s="63" t="str">
        <f>"0,6161"</f>
        <v>0,6161</v>
      </c>
      <c r="E127" s="63" t="s">
        <v>17</v>
      </c>
      <c r="F127" s="63" t="s">
        <v>1523</v>
      </c>
      <c r="G127" s="63" t="s">
        <v>54</v>
      </c>
      <c r="H127" s="64" t="s">
        <v>21</v>
      </c>
      <c r="I127" s="64" t="s">
        <v>21</v>
      </c>
      <c r="J127" s="64"/>
      <c r="K127" s="63">
        <v>175</v>
      </c>
      <c r="L127" s="63" t="str">
        <f>"107,8088"</f>
        <v>107,8088</v>
      </c>
      <c r="M127" s="63"/>
    </row>
    <row r="128" spans="1:13">
      <c r="A128" s="63" t="s">
        <v>1524</v>
      </c>
      <c r="B128" s="63" t="s">
        <v>1525</v>
      </c>
      <c r="C128" s="63" t="s">
        <v>1526</v>
      </c>
      <c r="D128" s="63" t="str">
        <f>"0,6177"</f>
        <v>0,6177</v>
      </c>
      <c r="E128" s="63" t="s">
        <v>17</v>
      </c>
      <c r="F128" s="63" t="s">
        <v>29</v>
      </c>
      <c r="G128" s="64" t="s">
        <v>179</v>
      </c>
      <c r="H128" s="63" t="s">
        <v>179</v>
      </c>
      <c r="I128" s="64" t="s">
        <v>43</v>
      </c>
      <c r="J128" s="64"/>
      <c r="K128" s="63">
        <v>167.5</v>
      </c>
      <c r="L128" s="63" t="str">
        <f>"103,4647"</f>
        <v>103,4647</v>
      </c>
      <c r="M128" s="63"/>
    </row>
    <row r="129" spans="1:13">
      <c r="A129" s="63" t="s">
        <v>1527</v>
      </c>
      <c r="B129" s="63" t="s">
        <v>1528</v>
      </c>
      <c r="C129" s="63" t="s">
        <v>922</v>
      </c>
      <c r="D129" s="63" t="str">
        <f>"0,6165"</f>
        <v>0,6165</v>
      </c>
      <c r="E129" s="63" t="s">
        <v>17</v>
      </c>
      <c r="F129" s="63" t="s">
        <v>786</v>
      </c>
      <c r="G129" s="64" t="s">
        <v>400</v>
      </c>
      <c r="H129" s="63" t="s">
        <v>400</v>
      </c>
      <c r="I129" s="63" t="s">
        <v>32</v>
      </c>
      <c r="J129" s="64"/>
      <c r="K129" s="63">
        <v>140</v>
      </c>
      <c r="L129" s="63" t="str">
        <f>"86,3030"</f>
        <v>86,3030</v>
      </c>
      <c r="M129" s="63"/>
    </row>
    <row r="130" spans="1:13">
      <c r="A130" s="63" t="s">
        <v>1529</v>
      </c>
      <c r="B130" s="63" t="s">
        <v>1530</v>
      </c>
      <c r="C130" s="63" t="s">
        <v>1531</v>
      </c>
      <c r="D130" s="63" t="str">
        <f>"0,6286"</f>
        <v>0,6286</v>
      </c>
      <c r="E130" s="63" t="s">
        <v>17</v>
      </c>
      <c r="F130" s="63" t="s">
        <v>153</v>
      </c>
      <c r="G130" s="63" t="s">
        <v>149</v>
      </c>
      <c r="H130" s="63" t="s">
        <v>400</v>
      </c>
      <c r="I130" s="64" t="s">
        <v>24</v>
      </c>
      <c r="J130" s="64"/>
      <c r="K130" s="63">
        <v>132.5</v>
      </c>
      <c r="L130" s="63" t="str">
        <f>"83,2895"</f>
        <v>83,2895</v>
      </c>
      <c r="M130" s="63"/>
    </row>
    <row r="131" spans="1:13">
      <c r="A131" s="63" t="s">
        <v>1532</v>
      </c>
      <c r="B131" s="63" t="s">
        <v>1533</v>
      </c>
      <c r="C131" s="63" t="s">
        <v>922</v>
      </c>
      <c r="D131" s="63" t="str">
        <f>"0,6165"</f>
        <v>0,6165</v>
      </c>
      <c r="E131" s="63" t="s">
        <v>17</v>
      </c>
      <c r="F131" s="63" t="s">
        <v>1324</v>
      </c>
      <c r="G131" s="63" t="s">
        <v>400</v>
      </c>
      <c r="H131" s="64" t="s">
        <v>265</v>
      </c>
      <c r="I131" s="64" t="s">
        <v>265</v>
      </c>
      <c r="J131" s="64"/>
      <c r="K131" s="63">
        <v>132.5</v>
      </c>
      <c r="L131" s="63" t="str">
        <f>"81,6796"</f>
        <v>81,6796</v>
      </c>
      <c r="M131" s="63"/>
    </row>
    <row r="132" spans="1:13">
      <c r="A132" s="63" t="s">
        <v>1534</v>
      </c>
      <c r="B132" s="63" t="s">
        <v>1535</v>
      </c>
      <c r="C132" s="63" t="s">
        <v>916</v>
      </c>
      <c r="D132" s="63" t="str">
        <f>"0,6169"</f>
        <v>0,6169</v>
      </c>
      <c r="E132" s="63" t="s">
        <v>17</v>
      </c>
      <c r="F132" s="63" t="s">
        <v>392</v>
      </c>
      <c r="G132" s="64" t="s">
        <v>34</v>
      </c>
      <c r="H132" s="64" t="s">
        <v>178</v>
      </c>
      <c r="I132" s="64" t="s">
        <v>178</v>
      </c>
      <c r="J132" s="64"/>
      <c r="K132" s="63">
        <v>0</v>
      </c>
      <c r="L132" s="63" t="str">
        <f>"0,0000"</f>
        <v>0,0000</v>
      </c>
      <c r="M132" s="63" t="s">
        <v>389</v>
      </c>
    </row>
    <row r="133" spans="1:13">
      <c r="A133" s="63" t="s">
        <v>1536</v>
      </c>
      <c r="B133" s="63" t="s">
        <v>1537</v>
      </c>
      <c r="C133" s="63" t="s">
        <v>1538</v>
      </c>
      <c r="D133" s="63" t="str">
        <f>"0,6318"</f>
        <v>0,6318</v>
      </c>
      <c r="E133" s="63" t="s">
        <v>17</v>
      </c>
      <c r="F133" s="63" t="s">
        <v>441</v>
      </c>
      <c r="G133" s="63" t="s">
        <v>21</v>
      </c>
      <c r="H133" s="63" t="s">
        <v>227</v>
      </c>
      <c r="I133" s="64" t="s">
        <v>254</v>
      </c>
      <c r="J133" s="64"/>
      <c r="K133" s="63">
        <v>187.5</v>
      </c>
      <c r="L133" s="63" t="str">
        <f>"118,4541"</f>
        <v>118,4541</v>
      </c>
      <c r="M133" s="63" t="s">
        <v>1539</v>
      </c>
    </row>
    <row r="134" spans="1:13">
      <c r="A134" s="63" t="s">
        <v>1540</v>
      </c>
      <c r="B134" s="63" t="s">
        <v>1541</v>
      </c>
      <c r="C134" s="63" t="s">
        <v>546</v>
      </c>
      <c r="D134" s="63" t="str">
        <f>"0,6149"</f>
        <v>0,6149</v>
      </c>
      <c r="E134" s="63" t="s">
        <v>17</v>
      </c>
      <c r="F134" s="63" t="s">
        <v>1542</v>
      </c>
      <c r="G134" s="64" t="s">
        <v>179</v>
      </c>
      <c r="H134" s="63" t="s">
        <v>179</v>
      </c>
      <c r="I134" s="64" t="s">
        <v>54</v>
      </c>
      <c r="J134" s="64"/>
      <c r="K134" s="63">
        <v>167.5</v>
      </c>
      <c r="L134" s="63" t="str">
        <f>"102,9957"</f>
        <v>102,9957</v>
      </c>
      <c r="M134" s="63"/>
    </row>
    <row r="135" spans="1:13">
      <c r="A135" s="63" t="s">
        <v>924</v>
      </c>
      <c r="B135" s="63" t="s">
        <v>925</v>
      </c>
      <c r="C135" s="63" t="s">
        <v>905</v>
      </c>
      <c r="D135" s="63" t="str">
        <f>"0,6521"</f>
        <v>0,6521</v>
      </c>
      <c r="E135" s="63" t="s">
        <v>17</v>
      </c>
      <c r="F135" s="63" t="s">
        <v>927</v>
      </c>
      <c r="G135" s="63" t="s">
        <v>836</v>
      </c>
      <c r="H135" s="63" t="s">
        <v>265</v>
      </c>
      <c r="I135" s="63" t="s">
        <v>194</v>
      </c>
      <c r="J135" s="64"/>
      <c r="K135" s="63">
        <v>157.5</v>
      </c>
      <c r="L135" s="63" t="str">
        <f>"102,7050"</f>
        <v>102,7050</v>
      </c>
      <c r="M135" s="63"/>
    </row>
    <row r="136" spans="1:13">
      <c r="A136" s="63" t="s">
        <v>1543</v>
      </c>
      <c r="B136" s="63" t="s">
        <v>1544</v>
      </c>
      <c r="C136" s="63" t="s">
        <v>1545</v>
      </c>
      <c r="D136" s="63" t="str">
        <f>"0,6576"</f>
        <v>0,6576</v>
      </c>
      <c r="E136" s="63" t="s">
        <v>17</v>
      </c>
      <c r="F136" s="63" t="s">
        <v>72</v>
      </c>
      <c r="G136" s="63" t="s">
        <v>32</v>
      </c>
      <c r="H136" s="64" t="s">
        <v>265</v>
      </c>
      <c r="I136" s="63" t="s">
        <v>265</v>
      </c>
      <c r="J136" s="64"/>
      <c r="K136" s="63">
        <v>152.5</v>
      </c>
      <c r="L136" s="63" t="str">
        <f>"100,2791"</f>
        <v>100,2791</v>
      </c>
      <c r="M136" s="63"/>
    </row>
    <row r="137" spans="1:13">
      <c r="A137" s="63" t="s">
        <v>1546</v>
      </c>
      <c r="B137" s="63" t="s">
        <v>1547</v>
      </c>
      <c r="C137" s="63" t="s">
        <v>1548</v>
      </c>
      <c r="D137" s="63" t="str">
        <f>"0,7471"</f>
        <v>0,7471</v>
      </c>
      <c r="E137" s="63" t="s">
        <v>120</v>
      </c>
      <c r="F137" s="63" t="s">
        <v>786</v>
      </c>
      <c r="G137" s="64" t="s">
        <v>20</v>
      </c>
      <c r="H137" s="63" t="s">
        <v>20</v>
      </c>
      <c r="I137" s="63" t="s">
        <v>178</v>
      </c>
      <c r="J137" s="64"/>
      <c r="K137" s="63">
        <v>162.5</v>
      </c>
      <c r="L137" s="63" t="str">
        <f>"121,4008"</f>
        <v>121,4008</v>
      </c>
      <c r="M137" s="63"/>
    </row>
    <row r="138" spans="1:13">
      <c r="A138" s="63" t="s">
        <v>1549</v>
      </c>
      <c r="B138" s="63" t="s">
        <v>1550</v>
      </c>
      <c r="C138" s="63" t="s">
        <v>1551</v>
      </c>
      <c r="D138" s="63" t="str">
        <f>"0,7432"</f>
        <v>0,7432</v>
      </c>
      <c r="E138" s="63" t="s">
        <v>17</v>
      </c>
      <c r="F138" s="63" t="s">
        <v>153</v>
      </c>
      <c r="G138" s="63" t="s">
        <v>126</v>
      </c>
      <c r="H138" s="63" t="s">
        <v>24</v>
      </c>
      <c r="I138" s="64" t="s">
        <v>836</v>
      </c>
      <c r="J138" s="64"/>
      <c r="K138" s="63">
        <v>135</v>
      </c>
      <c r="L138" s="63" t="str">
        <f>"100,3359"</f>
        <v>100,3359</v>
      </c>
      <c r="M138" s="63"/>
    </row>
    <row r="139" spans="1:13">
      <c r="A139" s="63" t="s">
        <v>1552</v>
      </c>
      <c r="B139" s="63" t="s">
        <v>1553</v>
      </c>
      <c r="C139" s="63" t="s">
        <v>1554</v>
      </c>
      <c r="D139" s="63" t="str">
        <f>"0,7642"</f>
        <v>0,7642</v>
      </c>
      <c r="E139" s="63" t="s">
        <v>17</v>
      </c>
      <c r="F139" s="63" t="s">
        <v>72</v>
      </c>
      <c r="G139" s="63" t="s">
        <v>20</v>
      </c>
      <c r="H139" s="64" t="s">
        <v>42</v>
      </c>
      <c r="I139" s="63" t="s">
        <v>42</v>
      </c>
      <c r="J139" s="64"/>
      <c r="K139" s="63">
        <v>165</v>
      </c>
      <c r="L139" s="63" t="str">
        <f>"126,0986"</f>
        <v>126,0986</v>
      </c>
      <c r="M139" s="63"/>
    </row>
    <row r="140" spans="1:13">
      <c r="A140" s="63" t="s">
        <v>530</v>
      </c>
      <c r="B140" s="63" t="s">
        <v>531</v>
      </c>
      <c r="C140" s="63" t="s">
        <v>526</v>
      </c>
      <c r="D140" s="63" t="str">
        <f>"0,7768"</f>
        <v>0,7768</v>
      </c>
      <c r="E140" s="63" t="s">
        <v>532</v>
      </c>
      <c r="F140" s="63" t="s">
        <v>533</v>
      </c>
      <c r="G140" s="63" t="s">
        <v>22</v>
      </c>
      <c r="H140" s="63" t="s">
        <v>149</v>
      </c>
      <c r="I140" s="64" t="s">
        <v>173</v>
      </c>
      <c r="J140" s="64"/>
      <c r="K140" s="63">
        <v>120</v>
      </c>
      <c r="L140" s="63" t="str">
        <f>"93,2132"</f>
        <v>93,2132</v>
      </c>
      <c r="M140" s="63"/>
    </row>
    <row r="141" spans="1:13">
      <c r="A141" s="63" t="s">
        <v>1555</v>
      </c>
      <c r="B141" s="63" t="s">
        <v>1556</v>
      </c>
      <c r="C141" s="63" t="s">
        <v>28</v>
      </c>
      <c r="D141" s="63" t="str">
        <f>"0,8561"</f>
        <v>0,8561</v>
      </c>
      <c r="E141" s="63" t="s">
        <v>120</v>
      </c>
      <c r="F141" s="63" t="s">
        <v>72</v>
      </c>
      <c r="G141" s="63" t="s">
        <v>126</v>
      </c>
      <c r="H141" s="63" t="s">
        <v>400</v>
      </c>
      <c r="I141" s="64" t="s">
        <v>355</v>
      </c>
      <c r="J141" s="64"/>
      <c r="K141" s="63">
        <v>132.5</v>
      </c>
      <c r="L141" s="63" t="str">
        <f>"113,4290"</f>
        <v>113,4290</v>
      </c>
      <c r="M141" s="63"/>
    </row>
    <row r="142" spans="1:13">
      <c r="A142" s="61" t="s">
        <v>938</v>
      </c>
      <c r="B142" s="61" t="s">
        <v>939</v>
      </c>
      <c r="C142" s="61" t="s">
        <v>225</v>
      </c>
      <c r="D142" s="61" t="str">
        <f>"1,2160"</f>
        <v>1,2160</v>
      </c>
      <c r="E142" s="61" t="s">
        <v>17</v>
      </c>
      <c r="F142" s="61" t="s">
        <v>941</v>
      </c>
      <c r="G142" s="62" t="s">
        <v>160</v>
      </c>
      <c r="H142" s="62"/>
      <c r="I142" s="62"/>
      <c r="J142" s="62"/>
      <c r="K142" s="61">
        <v>0</v>
      </c>
      <c r="L142" s="61" t="str">
        <f>"0,0000"</f>
        <v>0,0000</v>
      </c>
      <c r="M142" s="61"/>
    </row>
    <row r="144" spans="1:13" ht="15">
      <c r="A144" s="58" t="s">
        <v>47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3">
      <c r="A145" s="59" t="s">
        <v>1557</v>
      </c>
      <c r="B145" s="59" t="s">
        <v>1558</v>
      </c>
      <c r="C145" s="59" t="s">
        <v>1559</v>
      </c>
      <c r="D145" s="59" t="str">
        <f>"0,5940"</f>
        <v>0,5940</v>
      </c>
      <c r="E145" s="59" t="s">
        <v>17</v>
      </c>
      <c r="F145" s="59" t="s">
        <v>1324</v>
      </c>
      <c r="G145" s="60" t="s">
        <v>187</v>
      </c>
      <c r="H145" s="59" t="s">
        <v>187</v>
      </c>
      <c r="I145" s="59" t="s">
        <v>149</v>
      </c>
      <c r="J145" s="60"/>
      <c r="K145" s="59">
        <v>120</v>
      </c>
      <c r="L145" s="59" t="str">
        <f>"71,2800"</f>
        <v>71,2800</v>
      </c>
      <c r="M145" s="59" t="s">
        <v>1325</v>
      </c>
    </row>
    <row r="146" spans="1:13">
      <c r="A146" s="63" t="s">
        <v>1560</v>
      </c>
      <c r="B146" s="63" t="s">
        <v>1561</v>
      </c>
      <c r="C146" s="63" t="s">
        <v>1562</v>
      </c>
      <c r="D146" s="63" t="str">
        <f>"0,6075"</f>
        <v>0,6075</v>
      </c>
      <c r="E146" s="63" t="s">
        <v>120</v>
      </c>
      <c r="F146" s="63" t="s">
        <v>147</v>
      </c>
      <c r="G146" s="63" t="s">
        <v>24</v>
      </c>
      <c r="H146" s="63" t="s">
        <v>32</v>
      </c>
      <c r="I146" s="64" t="s">
        <v>883</v>
      </c>
      <c r="J146" s="64"/>
      <c r="K146" s="63">
        <v>140</v>
      </c>
      <c r="L146" s="63" t="str">
        <f>"85,0500"</f>
        <v>85,0500</v>
      </c>
      <c r="M146" s="63" t="s">
        <v>1563</v>
      </c>
    </row>
    <row r="147" spans="1:13">
      <c r="A147" s="63" t="s">
        <v>1564</v>
      </c>
      <c r="B147" s="63" t="s">
        <v>1565</v>
      </c>
      <c r="C147" s="63" t="s">
        <v>550</v>
      </c>
      <c r="D147" s="63" t="str">
        <f>"0,5813"</f>
        <v>0,5813</v>
      </c>
      <c r="E147" s="63" t="s">
        <v>120</v>
      </c>
      <c r="F147" s="63" t="s">
        <v>51</v>
      </c>
      <c r="G147" s="63" t="s">
        <v>179</v>
      </c>
      <c r="H147" s="63" t="s">
        <v>235</v>
      </c>
      <c r="I147" s="64" t="s">
        <v>379</v>
      </c>
      <c r="J147" s="64"/>
      <c r="K147" s="63">
        <v>172.5</v>
      </c>
      <c r="L147" s="63" t="str">
        <f>"100,2743"</f>
        <v>100,2743</v>
      </c>
      <c r="M147" s="63"/>
    </row>
    <row r="148" spans="1:13">
      <c r="A148" s="63" t="s">
        <v>1566</v>
      </c>
      <c r="B148" s="63" t="s">
        <v>1567</v>
      </c>
      <c r="C148" s="63" t="s">
        <v>559</v>
      </c>
      <c r="D148" s="63" t="str">
        <f>"0,5929"</f>
        <v>0,5929</v>
      </c>
      <c r="E148" s="63" t="s">
        <v>120</v>
      </c>
      <c r="F148" s="63" t="s">
        <v>29</v>
      </c>
      <c r="G148" s="63" t="s">
        <v>20</v>
      </c>
      <c r="H148" s="64" t="s">
        <v>42</v>
      </c>
      <c r="I148" s="63" t="s">
        <v>42</v>
      </c>
      <c r="J148" s="64"/>
      <c r="K148" s="63">
        <v>165</v>
      </c>
      <c r="L148" s="63" t="str">
        <f>"97,8203"</f>
        <v>97,8203</v>
      </c>
      <c r="M148" s="63" t="s">
        <v>137</v>
      </c>
    </row>
    <row r="149" spans="1:13">
      <c r="A149" s="63" t="s">
        <v>1568</v>
      </c>
      <c r="B149" s="63" t="s">
        <v>1569</v>
      </c>
      <c r="C149" s="63" t="s">
        <v>568</v>
      </c>
      <c r="D149" s="63" t="str">
        <f>"0,5878"</f>
        <v>0,5878</v>
      </c>
      <c r="E149" s="63" t="s">
        <v>120</v>
      </c>
      <c r="F149" s="63" t="s">
        <v>72</v>
      </c>
      <c r="G149" s="63" t="s">
        <v>178</v>
      </c>
      <c r="H149" s="64" t="s">
        <v>179</v>
      </c>
      <c r="I149" s="64" t="s">
        <v>179</v>
      </c>
      <c r="J149" s="64"/>
      <c r="K149" s="63">
        <v>162.5</v>
      </c>
      <c r="L149" s="63" t="str">
        <f>"95,5094"</f>
        <v>95,5094</v>
      </c>
      <c r="M149" s="63"/>
    </row>
    <row r="150" spans="1:13">
      <c r="A150" s="63" t="s">
        <v>948</v>
      </c>
      <c r="B150" s="63" t="s">
        <v>949</v>
      </c>
      <c r="C150" s="63" t="s">
        <v>550</v>
      </c>
      <c r="D150" s="63" t="str">
        <f>"0,5813"</f>
        <v>0,5813</v>
      </c>
      <c r="E150" s="63" t="s">
        <v>17</v>
      </c>
      <c r="F150" s="63" t="s">
        <v>951</v>
      </c>
      <c r="G150" s="63" t="s">
        <v>32</v>
      </c>
      <c r="H150" s="64" t="s">
        <v>19</v>
      </c>
      <c r="I150" s="64"/>
      <c r="J150" s="64"/>
      <c r="K150" s="63">
        <v>140</v>
      </c>
      <c r="L150" s="63" t="str">
        <f>"81,3820"</f>
        <v>81,3820</v>
      </c>
      <c r="M150" s="63"/>
    </row>
    <row r="151" spans="1:13">
      <c r="A151" s="63" t="s">
        <v>1570</v>
      </c>
      <c r="B151" s="63" t="s">
        <v>1571</v>
      </c>
      <c r="C151" s="63" t="s">
        <v>1572</v>
      </c>
      <c r="D151" s="63" t="str">
        <f>"0,5961"</f>
        <v>0,5961</v>
      </c>
      <c r="E151" s="63" t="s">
        <v>17</v>
      </c>
      <c r="F151" s="63" t="s">
        <v>1573</v>
      </c>
      <c r="G151" s="64" t="s">
        <v>24</v>
      </c>
      <c r="H151" s="64" t="s">
        <v>24</v>
      </c>
      <c r="I151" s="64" t="s">
        <v>32</v>
      </c>
      <c r="J151" s="64"/>
      <c r="K151" s="63">
        <v>0</v>
      </c>
      <c r="L151" s="63" t="str">
        <f>"0,0000"</f>
        <v>0,0000</v>
      </c>
      <c r="M151" s="63" t="s">
        <v>1574</v>
      </c>
    </row>
    <row r="152" spans="1:13">
      <c r="A152" s="63" t="s">
        <v>1575</v>
      </c>
      <c r="B152" s="63" t="s">
        <v>1576</v>
      </c>
      <c r="C152" s="63" t="s">
        <v>950</v>
      </c>
      <c r="D152" s="63" t="str">
        <f>"0,5821"</f>
        <v>0,5821</v>
      </c>
      <c r="E152" s="63" t="s">
        <v>17</v>
      </c>
      <c r="F152" s="63" t="s">
        <v>1577</v>
      </c>
      <c r="G152" s="63" t="s">
        <v>21</v>
      </c>
      <c r="H152" s="63" t="s">
        <v>254</v>
      </c>
      <c r="I152" s="64" t="s">
        <v>831</v>
      </c>
      <c r="J152" s="64"/>
      <c r="K152" s="63">
        <v>192.5</v>
      </c>
      <c r="L152" s="63" t="str">
        <f>"112,0446"</f>
        <v>112,0446</v>
      </c>
      <c r="M152" s="63"/>
    </row>
    <row r="153" spans="1:13">
      <c r="A153" s="63" t="s">
        <v>1578</v>
      </c>
      <c r="B153" s="63" t="s">
        <v>1579</v>
      </c>
      <c r="C153" s="63" t="s">
        <v>1580</v>
      </c>
      <c r="D153" s="63" t="str">
        <f>"0,5861"</f>
        <v>0,5861</v>
      </c>
      <c r="E153" s="63" t="s">
        <v>17</v>
      </c>
      <c r="F153" s="63" t="s">
        <v>955</v>
      </c>
      <c r="G153" s="63" t="s">
        <v>83</v>
      </c>
      <c r="H153" s="64" t="s">
        <v>30</v>
      </c>
      <c r="I153" s="64" t="s">
        <v>30</v>
      </c>
      <c r="J153" s="64"/>
      <c r="K153" s="63">
        <v>190</v>
      </c>
      <c r="L153" s="63" t="str">
        <f>"111,3685"</f>
        <v>111,3685</v>
      </c>
      <c r="M153" s="63"/>
    </row>
    <row r="154" spans="1:13">
      <c r="A154" s="63" t="s">
        <v>1581</v>
      </c>
      <c r="B154" s="63" t="s">
        <v>1582</v>
      </c>
      <c r="C154" s="63" t="s">
        <v>556</v>
      </c>
      <c r="D154" s="63" t="str">
        <f>"0,5856"</f>
        <v>0,5856</v>
      </c>
      <c r="E154" s="63" t="s">
        <v>17</v>
      </c>
      <c r="F154" s="63" t="s">
        <v>1491</v>
      </c>
      <c r="G154" s="63" t="s">
        <v>67</v>
      </c>
      <c r="H154" s="64" t="s">
        <v>188</v>
      </c>
      <c r="I154" s="64" t="s">
        <v>188</v>
      </c>
      <c r="J154" s="64"/>
      <c r="K154" s="63">
        <v>185</v>
      </c>
      <c r="L154" s="63" t="str">
        <f>"108,3360"</f>
        <v>108,3360</v>
      </c>
      <c r="M154" s="63"/>
    </row>
    <row r="155" spans="1:13">
      <c r="A155" s="63" t="s">
        <v>1583</v>
      </c>
      <c r="B155" s="63" t="s">
        <v>1584</v>
      </c>
      <c r="C155" s="63" t="s">
        <v>1585</v>
      </c>
      <c r="D155" s="63" t="str">
        <f>"0,5871"</f>
        <v>0,5871</v>
      </c>
      <c r="E155" s="63" t="s">
        <v>17</v>
      </c>
      <c r="F155" s="63" t="s">
        <v>786</v>
      </c>
      <c r="G155" s="64" t="s">
        <v>24</v>
      </c>
      <c r="H155" s="63" t="s">
        <v>24</v>
      </c>
      <c r="I155" s="64" t="s">
        <v>32</v>
      </c>
      <c r="J155" s="64"/>
      <c r="K155" s="63">
        <v>135</v>
      </c>
      <c r="L155" s="63" t="str">
        <f>"79,2652"</f>
        <v>79,2652</v>
      </c>
      <c r="M155" s="63"/>
    </row>
    <row r="156" spans="1:13">
      <c r="A156" s="63" t="s">
        <v>1586</v>
      </c>
      <c r="B156" s="63" t="s">
        <v>1587</v>
      </c>
      <c r="C156" s="63" t="s">
        <v>1588</v>
      </c>
      <c r="D156" s="63" t="str">
        <f>"0,5846"</f>
        <v>0,5846</v>
      </c>
      <c r="E156" s="63" t="s">
        <v>17</v>
      </c>
      <c r="F156" s="63" t="s">
        <v>72</v>
      </c>
      <c r="G156" s="63" t="s">
        <v>23</v>
      </c>
      <c r="H156" s="63" t="s">
        <v>173</v>
      </c>
      <c r="I156" s="64" t="s">
        <v>32</v>
      </c>
      <c r="J156" s="64"/>
      <c r="K156" s="63">
        <v>130</v>
      </c>
      <c r="L156" s="63" t="str">
        <f>"75,9915"</f>
        <v>75,9915</v>
      </c>
      <c r="M156" s="63"/>
    </row>
    <row r="157" spans="1:13">
      <c r="A157" s="63" t="s">
        <v>1589</v>
      </c>
      <c r="B157" s="63" t="s">
        <v>1590</v>
      </c>
      <c r="C157" s="63" t="s">
        <v>562</v>
      </c>
      <c r="D157" s="63" t="str">
        <f>"0,5875"</f>
        <v>0,5875</v>
      </c>
      <c r="E157" s="63" t="s">
        <v>17</v>
      </c>
      <c r="F157" s="63" t="s">
        <v>1324</v>
      </c>
      <c r="G157" s="63" t="s">
        <v>32</v>
      </c>
      <c r="H157" s="64" t="s">
        <v>178</v>
      </c>
      <c r="I157" s="63" t="s">
        <v>178</v>
      </c>
      <c r="J157" s="64"/>
      <c r="K157" s="63">
        <v>162.5</v>
      </c>
      <c r="L157" s="63" t="str">
        <f>"95,4606"</f>
        <v>95,4606</v>
      </c>
      <c r="M157" s="63"/>
    </row>
    <row r="158" spans="1:13">
      <c r="A158" s="63" t="s">
        <v>1591</v>
      </c>
      <c r="B158" s="63" t="s">
        <v>1592</v>
      </c>
      <c r="C158" s="63" t="s">
        <v>568</v>
      </c>
      <c r="D158" s="63" t="str">
        <f>"0,5878"</f>
        <v>0,5878</v>
      </c>
      <c r="E158" s="63" t="s">
        <v>120</v>
      </c>
      <c r="F158" s="63" t="s">
        <v>147</v>
      </c>
      <c r="G158" s="63" t="s">
        <v>173</v>
      </c>
      <c r="H158" s="63" t="s">
        <v>355</v>
      </c>
      <c r="I158" s="64" t="s">
        <v>836</v>
      </c>
      <c r="J158" s="64"/>
      <c r="K158" s="63">
        <v>137.5</v>
      </c>
      <c r="L158" s="63" t="str">
        <f>"80,8156"</f>
        <v>80,8156</v>
      </c>
      <c r="M158" s="63"/>
    </row>
    <row r="159" spans="1:13">
      <c r="A159" s="63" t="s">
        <v>1593</v>
      </c>
      <c r="B159" s="63" t="s">
        <v>1594</v>
      </c>
      <c r="C159" s="63" t="s">
        <v>1595</v>
      </c>
      <c r="D159" s="63" t="str">
        <f>"0,6490"</f>
        <v>0,6490</v>
      </c>
      <c r="E159" s="63" t="s">
        <v>17</v>
      </c>
      <c r="F159" s="63" t="s">
        <v>1596</v>
      </c>
      <c r="G159" s="63" t="s">
        <v>179</v>
      </c>
      <c r="H159" s="63" t="s">
        <v>235</v>
      </c>
      <c r="I159" s="63" t="s">
        <v>54</v>
      </c>
      <c r="J159" s="64"/>
      <c r="K159" s="63">
        <v>175</v>
      </c>
      <c r="L159" s="63" t="str">
        <f>"113,5820"</f>
        <v>113,5820</v>
      </c>
      <c r="M159" s="63"/>
    </row>
    <row r="160" spans="1:13">
      <c r="A160" s="63" t="s">
        <v>1597</v>
      </c>
      <c r="B160" s="63" t="s">
        <v>1598</v>
      </c>
      <c r="C160" s="63" t="s">
        <v>1599</v>
      </c>
      <c r="D160" s="63" t="str">
        <f>"0,6326"</f>
        <v>0,6326</v>
      </c>
      <c r="E160" s="63" t="s">
        <v>120</v>
      </c>
      <c r="F160" s="63" t="s">
        <v>29</v>
      </c>
      <c r="G160" s="63" t="s">
        <v>33</v>
      </c>
      <c r="H160" s="63" t="s">
        <v>34</v>
      </c>
      <c r="I160" s="63" t="s">
        <v>194</v>
      </c>
      <c r="J160" s="64"/>
      <c r="K160" s="63">
        <v>157.5</v>
      </c>
      <c r="L160" s="63" t="str">
        <f>"99,6393"</f>
        <v>99,6393</v>
      </c>
      <c r="M160" s="63"/>
    </row>
    <row r="161" spans="1:13">
      <c r="A161" s="61" t="s">
        <v>1600</v>
      </c>
      <c r="B161" s="61" t="s">
        <v>1601</v>
      </c>
      <c r="C161" s="61" t="s">
        <v>553</v>
      </c>
      <c r="D161" s="61" t="str">
        <f>"0,7887"</f>
        <v>0,7887</v>
      </c>
      <c r="E161" s="61" t="s">
        <v>17</v>
      </c>
      <c r="F161" s="61" t="s">
        <v>72</v>
      </c>
      <c r="G161" s="61" t="s">
        <v>194</v>
      </c>
      <c r="H161" s="62" t="s">
        <v>178</v>
      </c>
      <c r="I161" s="62" t="s">
        <v>178</v>
      </c>
      <c r="J161" s="62"/>
      <c r="K161" s="61">
        <v>157.5</v>
      </c>
      <c r="L161" s="61" t="str">
        <f>"124,2135"</f>
        <v>124,2135</v>
      </c>
      <c r="M161" s="61"/>
    </row>
    <row r="163" spans="1:13" ht="15">
      <c r="A163" s="58" t="s">
        <v>68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3">
      <c r="A164" s="59" t="s">
        <v>1602</v>
      </c>
      <c r="B164" s="59" t="s">
        <v>1603</v>
      </c>
      <c r="C164" s="59" t="s">
        <v>1604</v>
      </c>
      <c r="D164" s="59" t="str">
        <f>"0,5627"</f>
        <v>0,5627</v>
      </c>
      <c r="E164" s="59" t="s">
        <v>17</v>
      </c>
      <c r="F164" s="59" t="s">
        <v>392</v>
      </c>
      <c r="G164" s="59" t="s">
        <v>67</v>
      </c>
      <c r="H164" s="60" t="s">
        <v>83</v>
      </c>
      <c r="I164" s="60" t="s">
        <v>83</v>
      </c>
      <c r="J164" s="60"/>
      <c r="K164" s="59">
        <v>185</v>
      </c>
      <c r="L164" s="59" t="str">
        <f>"104,0903"</f>
        <v>104,0903</v>
      </c>
      <c r="M164" s="59" t="s">
        <v>1605</v>
      </c>
    </row>
    <row r="165" spans="1:13">
      <c r="A165" s="63" t="s">
        <v>1606</v>
      </c>
      <c r="B165" s="63" t="s">
        <v>1607</v>
      </c>
      <c r="C165" s="63" t="s">
        <v>715</v>
      </c>
      <c r="D165" s="63" t="str">
        <f>"0,5647"</f>
        <v>0,5647</v>
      </c>
      <c r="E165" s="63" t="s">
        <v>17</v>
      </c>
      <c r="F165" s="63" t="s">
        <v>72</v>
      </c>
      <c r="G165" s="63" t="s">
        <v>179</v>
      </c>
      <c r="H165" s="63" t="s">
        <v>54</v>
      </c>
      <c r="I165" s="64" t="s">
        <v>625</v>
      </c>
      <c r="J165" s="64"/>
      <c r="K165" s="63">
        <v>175</v>
      </c>
      <c r="L165" s="63" t="str">
        <f>"98,8225"</f>
        <v>98,8225</v>
      </c>
      <c r="M165" s="63"/>
    </row>
    <row r="166" spans="1:13">
      <c r="A166" s="63" t="s">
        <v>1608</v>
      </c>
      <c r="B166" s="63" t="s">
        <v>1609</v>
      </c>
      <c r="C166" s="63" t="s">
        <v>1610</v>
      </c>
      <c r="D166" s="63" t="str">
        <f>"0,5655"</f>
        <v>0,5655</v>
      </c>
      <c r="E166" s="63" t="s">
        <v>17</v>
      </c>
      <c r="F166" s="63" t="s">
        <v>1573</v>
      </c>
      <c r="G166" s="63" t="s">
        <v>31</v>
      </c>
      <c r="H166" s="63" t="s">
        <v>211</v>
      </c>
      <c r="I166" s="64" t="s">
        <v>45</v>
      </c>
      <c r="J166" s="64"/>
      <c r="K166" s="63">
        <v>225</v>
      </c>
      <c r="L166" s="63" t="str">
        <f>"127,2375"</f>
        <v>127,2375</v>
      </c>
      <c r="M166" s="63" t="s">
        <v>1611</v>
      </c>
    </row>
    <row r="167" spans="1:13">
      <c r="A167" s="63" t="s">
        <v>1612</v>
      </c>
      <c r="B167" s="63" t="s">
        <v>1613</v>
      </c>
      <c r="C167" s="63" t="s">
        <v>1614</v>
      </c>
      <c r="D167" s="63" t="str">
        <f>"0,5692"</f>
        <v>0,5692</v>
      </c>
      <c r="E167" s="63" t="s">
        <v>40</v>
      </c>
      <c r="F167" s="63" t="s">
        <v>354</v>
      </c>
      <c r="G167" s="63" t="s">
        <v>61</v>
      </c>
      <c r="H167" s="63" t="s">
        <v>31</v>
      </c>
      <c r="I167" s="64" t="s">
        <v>211</v>
      </c>
      <c r="J167" s="64"/>
      <c r="K167" s="63">
        <v>220</v>
      </c>
      <c r="L167" s="63" t="str">
        <f>"125,2240"</f>
        <v>125,2240</v>
      </c>
      <c r="M167" s="63"/>
    </row>
    <row r="168" spans="1:13">
      <c r="A168" s="63" t="s">
        <v>1615</v>
      </c>
      <c r="B168" s="63" t="s">
        <v>1616</v>
      </c>
      <c r="C168" s="63" t="s">
        <v>268</v>
      </c>
      <c r="D168" s="63" t="str">
        <f>"0,5727"</f>
        <v>0,5727</v>
      </c>
      <c r="E168" s="63" t="s">
        <v>17</v>
      </c>
      <c r="F168" s="63" t="s">
        <v>1157</v>
      </c>
      <c r="G168" s="63" t="s">
        <v>188</v>
      </c>
      <c r="H168" s="63" t="s">
        <v>831</v>
      </c>
      <c r="I168" s="64" t="s">
        <v>61</v>
      </c>
      <c r="J168" s="64"/>
      <c r="K168" s="63">
        <v>202.5</v>
      </c>
      <c r="L168" s="63" t="str">
        <f>"115,9819"</f>
        <v>115,9819</v>
      </c>
      <c r="M168" s="63"/>
    </row>
    <row r="169" spans="1:13">
      <c r="A169" s="63" t="s">
        <v>1617</v>
      </c>
      <c r="B169" s="63" t="s">
        <v>1618</v>
      </c>
      <c r="C169" s="63" t="s">
        <v>260</v>
      </c>
      <c r="D169" s="63" t="str">
        <f>"0,5695"</f>
        <v>0,5695</v>
      </c>
      <c r="E169" s="63" t="s">
        <v>17</v>
      </c>
      <c r="F169" s="63" t="s">
        <v>1619</v>
      </c>
      <c r="G169" s="63" t="s">
        <v>67</v>
      </c>
      <c r="H169" s="64"/>
      <c r="I169" s="64"/>
      <c r="J169" s="64"/>
      <c r="K169" s="63">
        <v>185</v>
      </c>
      <c r="L169" s="63" t="str">
        <f>"105,3667"</f>
        <v>105,3667</v>
      </c>
      <c r="M169" s="63"/>
    </row>
    <row r="170" spans="1:13">
      <c r="A170" s="63" t="s">
        <v>250</v>
      </c>
      <c r="B170" s="63" t="s">
        <v>251</v>
      </c>
      <c r="C170" s="63" t="s">
        <v>715</v>
      </c>
      <c r="D170" s="63" t="str">
        <f>"0,5647"</f>
        <v>0,5647</v>
      </c>
      <c r="E170" s="63" t="s">
        <v>269</v>
      </c>
      <c r="F170" s="63" t="s">
        <v>164</v>
      </c>
      <c r="G170" s="63" t="s">
        <v>54</v>
      </c>
      <c r="H170" s="63" t="s">
        <v>67</v>
      </c>
      <c r="I170" s="64" t="s">
        <v>188</v>
      </c>
      <c r="J170" s="64"/>
      <c r="K170" s="63">
        <v>185</v>
      </c>
      <c r="L170" s="63" t="str">
        <f>"104,4695"</f>
        <v>104,4695</v>
      </c>
      <c r="M170" s="63"/>
    </row>
    <row r="171" spans="1:13">
      <c r="A171" s="63" t="s">
        <v>1620</v>
      </c>
      <c r="B171" s="63" t="s">
        <v>1621</v>
      </c>
      <c r="C171" s="63" t="s">
        <v>1622</v>
      </c>
      <c r="D171" s="63" t="str">
        <f>"0,5681"</f>
        <v>0,5681</v>
      </c>
      <c r="E171" s="63" t="s">
        <v>17</v>
      </c>
      <c r="F171" s="63" t="s">
        <v>159</v>
      </c>
      <c r="G171" s="63" t="s">
        <v>43</v>
      </c>
      <c r="H171" s="64" t="s">
        <v>625</v>
      </c>
      <c r="I171" s="64" t="s">
        <v>625</v>
      </c>
      <c r="J171" s="64"/>
      <c r="K171" s="63">
        <v>170</v>
      </c>
      <c r="L171" s="63" t="str">
        <f>"96,5770"</f>
        <v>96,5770</v>
      </c>
      <c r="M171" s="63"/>
    </row>
    <row r="172" spans="1:13">
      <c r="A172" s="63" t="s">
        <v>1623</v>
      </c>
      <c r="B172" s="63" t="s">
        <v>1624</v>
      </c>
      <c r="C172" s="63" t="s">
        <v>1625</v>
      </c>
      <c r="D172" s="63" t="str">
        <f>"0,5718"</f>
        <v>0,5718</v>
      </c>
      <c r="E172" s="63" t="s">
        <v>17</v>
      </c>
      <c r="F172" s="63" t="s">
        <v>1626</v>
      </c>
      <c r="G172" s="64" t="s">
        <v>178</v>
      </c>
      <c r="H172" s="63" t="s">
        <v>178</v>
      </c>
      <c r="I172" s="64" t="s">
        <v>179</v>
      </c>
      <c r="J172" s="64"/>
      <c r="K172" s="63">
        <v>162.5</v>
      </c>
      <c r="L172" s="63" t="str">
        <f>"92,9175"</f>
        <v>92,9175</v>
      </c>
      <c r="M172" s="63"/>
    </row>
    <row r="173" spans="1:13">
      <c r="A173" s="63" t="s">
        <v>1627</v>
      </c>
      <c r="B173" s="63" t="s">
        <v>1628</v>
      </c>
      <c r="C173" s="63" t="s">
        <v>1629</v>
      </c>
      <c r="D173" s="63" t="str">
        <f>"0,5638"</f>
        <v>0,5638</v>
      </c>
      <c r="E173" s="63" t="s">
        <v>17</v>
      </c>
      <c r="F173" s="63" t="s">
        <v>1630</v>
      </c>
      <c r="G173" s="64" t="s">
        <v>83</v>
      </c>
      <c r="H173" s="64" t="s">
        <v>83</v>
      </c>
      <c r="I173" s="64" t="s">
        <v>83</v>
      </c>
      <c r="J173" s="64"/>
      <c r="K173" s="63">
        <v>0</v>
      </c>
      <c r="L173" s="63" t="str">
        <f>"0,0000"</f>
        <v>0,0000</v>
      </c>
      <c r="M173" s="63"/>
    </row>
    <row r="174" spans="1:13">
      <c r="A174" s="63" t="s">
        <v>1617</v>
      </c>
      <c r="B174" s="63" t="s">
        <v>1631</v>
      </c>
      <c r="C174" s="63" t="s">
        <v>260</v>
      </c>
      <c r="D174" s="63" t="str">
        <f>"0,5872"</f>
        <v>0,5872</v>
      </c>
      <c r="E174" s="63" t="s">
        <v>120</v>
      </c>
      <c r="F174" s="63" t="s">
        <v>1619</v>
      </c>
      <c r="G174" s="63" t="s">
        <v>67</v>
      </c>
      <c r="H174" s="63" t="s">
        <v>188</v>
      </c>
      <c r="I174" s="64" t="s">
        <v>580</v>
      </c>
      <c r="J174" s="64"/>
      <c r="K174" s="63">
        <v>195</v>
      </c>
      <c r="L174" s="63" t="str">
        <f>"114,5052"</f>
        <v>114,5052</v>
      </c>
      <c r="M174" s="63"/>
    </row>
    <row r="175" spans="1:13">
      <c r="A175" s="63" t="s">
        <v>1632</v>
      </c>
      <c r="B175" s="63" t="s">
        <v>1633</v>
      </c>
      <c r="C175" s="63" t="s">
        <v>1610</v>
      </c>
      <c r="D175" s="63" t="str">
        <f>"0,5712"</f>
        <v>0,5712</v>
      </c>
      <c r="E175" s="63" t="s">
        <v>17</v>
      </c>
      <c r="F175" s="63" t="s">
        <v>29</v>
      </c>
      <c r="G175" s="63" t="s">
        <v>34</v>
      </c>
      <c r="H175" s="63" t="s">
        <v>178</v>
      </c>
      <c r="I175" s="64" t="s">
        <v>42</v>
      </c>
      <c r="J175" s="64"/>
      <c r="K175" s="63">
        <v>162.5</v>
      </c>
      <c r="L175" s="63" t="str">
        <f>"92,8127"</f>
        <v>92,8127</v>
      </c>
      <c r="M175" s="63"/>
    </row>
    <row r="176" spans="1:13">
      <c r="A176" s="63" t="s">
        <v>1634</v>
      </c>
      <c r="B176" s="63" t="s">
        <v>1635</v>
      </c>
      <c r="C176" s="63" t="s">
        <v>1636</v>
      </c>
      <c r="D176" s="63" t="str">
        <f>"0,5699"</f>
        <v>0,5699</v>
      </c>
      <c r="E176" s="63" t="s">
        <v>17</v>
      </c>
      <c r="F176" s="63" t="s">
        <v>72</v>
      </c>
      <c r="G176" s="63" t="s">
        <v>20</v>
      </c>
      <c r="H176" s="64" t="s">
        <v>179</v>
      </c>
      <c r="I176" s="64" t="s">
        <v>179</v>
      </c>
      <c r="J176" s="64"/>
      <c r="K176" s="63">
        <v>160</v>
      </c>
      <c r="L176" s="63" t="str">
        <f>"91,1920"</f>
        <v>91,1920</v>
      </c>
      <c r="M176" s="63" t="s">
        <v>995</v>
      </c>
    </row>
    <row r="177" spans="1:13">
      <c r="A177" s="63" t="s">
        <v>1637</v>
      </c>
      <c r="B177" s="63" t="s">
        <v>1638</v>
      </c>
      <c r="C177" s="63" t="s">
        <v>252</v>
      </c>
      <c r="D177" s="63" t="str">
        <f>"0,6012"</f>
        <v>0,6012</v>
      </c>
      <c r="E177" s="63" t="s">
        <v>17</v>
      </c>
      <c r="F177" s="63" t="s">
        <v>72</v>
      </c>
      <c r="G177" s="63" t="s">
        <v>32</v>
      </c>
      <c r="H177" s="63" t="s">
        <v>883</v>
      </c>
      <c r="I177" s="64" t="s">
        <v>265</v>
      </c>
      <c r="J177" s="64"/>
      <c r="K177" s="63">
        <v>147.5</v>
      </c>
      <c r="L177" s="63" t="str">
        <f>"88,6736"</f>
        <v>88,6736</v>
      </c>
      <c r="M177" s="63"/>
    </row>
    <row r="178" spans="1:13">
      <c r="A178" s="63" t="s">
        <v>1639</v>
      </c>
      <c r="B178" s="63" t="s">
        <v>1640</v>
      </c>
      <c r="C178" s="63" t="s">
        <v>1641</v>
      </c>
      <c r="D178" s="63" t="str">
        <f>"0,6806"</f>
        <v>0,6806</v>
      </c>
      <c r="E178" s="63" t="s">
        <v>17</v>
      </c>
      <c r="F178" s="63" t="s">
        <v>72</v>
      </c>
      <c r="G178" s="63" t="s">
        <v>32</v>
      </c>
      <c r="H178" s="63" t="s">
        <v>19</v>
      </c>
      <c r="I178" s="63" t="s">
        <v>33</v>
      </c>
      <c r="J178" s="64"/>
      <c r="K178" s="63">
        <v>150</v>
      </c>
      <c r="L178" s="63" t="str">
        <f>"102,0932"</f>
        <v>102,0932</v>
      </c>
      <c r="M178" s="63"/>
    </row>
    <row r="179" spans="1:13">
      <c r="A179" s="63" t="s">
        <v>1642</v>
      </c>
      <c r="B179" s="63" t="s">
        <v>1643</v>
      </c>
      <c r="C179" s="63" t="s">
        <v>260</v>
      </c>
      <c r="D179" s="63" t="str">
        <f>"0,6436"</f>
        <v>0,6436</v>
      </c>
      <c r="E179" s="63" t="s">
        <v>17</v>
      </c>
      <c r="F179" s="63" t="s">
        <v>153</v>
      </c>
      <c r="G179" s="63" t="s">
        <v>135</v>
      </c>
      <c r="H179" s="64"/>
      <c r="I179" s="64"/>
      <c r="J179" s="64"/>
      <c r="K179" s="63">
        <v>100</v>
      </c>
      <c r="L179" s="63" t="str">
        <f>"64,3591"</f>
        <v>64,3591</v>
      </c>
      <c r="M179" s="63" t="s">
        <v>1644</v>
      </c>
    </row>
    <row r="180" spans="1:13">
      <c r="A180" s="63" t="s">
        <v>1645</v>
      </c>
      <c r="B180" s="63" t="s">
        <v>1646</v>
      </c>
      <c r="C180" s="63" t="s">
        <v>257</v>
      </c>
      <c r="D180" s="63" t="str">
        <f>"0,8007"</f>
        <v>0,8007</v>
      </c>
      <c r="E180" s="63" t="s">
        <v>120</v>
      </c>
      <c r="F180" s="63" t="s">
        <v>1647</v>
      </c>
      <c r="G180" s="63" t="s">
        <v>836</v>
      </c>
      <c r="H180" s="63" t="s">
        <v>33</v>
      </c>
      <c r="I180" s="63" t="s">
        <v>34</v>
      </c>
      <c r="J180" s="64"/>
      <c r="K180" s="63">
        <v>155</v>
      </c>
      <c r="L180" s="63" t="str">
        <f>"124,1137"</f>
        <v>124,1137</v>
      </c>
      <c r="M180" s="63"/>
    </row>
    <row r="181" spans="1:13">
      <c r="A181" s="61" t="s">
        <v>1648</v>
      </c>
      <c r="B181" s="61" t="s">
        <v>1649</v>
      </c>
      <c r="C181" s="61" t="s">
        <v>1650</v>
      </c>
      <c r="D181" s="61" t="str">
        <f>"0,7737"</f>
        <v>0,7737</v>
      </c>
      <c r="E181" s="61" t="s">
        <v>17</v>
      </c>
      <c r="F181" s="61" t="s">
        <v>1442</v>
      </c>
      <c r="G181" s="61" t="s">
        <v>160</v>
      </c>
      <c r="H181" s="61" t="s">
        <v>149</v>
      </c>
      <c r="I181" s="62" t="s">
        <v>126</v>
      </c>
      <c r="J181" s="62"/>
      <c r="K181" s="61">
        <v>120</v>
      </c>
      <c r="L181" s="61" t="str">
        <f>"92,8459"</f>
        <v>92,8459</v>
      </c>
      <c r="M181" s="61" t="s">
        <v>1339</v>
      </c>
    </row>
    <row r="183" spans="1:13" ht="15">
      <c r="A183" s="58" t="s">
        <v>271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3">
      <c r="A184" s="59" t="s">
        <v>1651</v>
      </c>
      <c r="B184" s="59" t="s">
        <v>1652</v>
      </c>
      <c r="C184" s="59" t="s">
        <v>1653</v>
      </c>
      <c r="D184" s="59" t="str">
        <f>"0,5490"</f>
        <v>0,5490</v>
      </c>
      <c r="E184" s="59" t="s">
        <v>17</v>
      </c>
      <c r="F184" s="59" t="s">
        <v>282</v>
      </c>
      <c r="G184" s="59" t="s">
        <v>33</v>
      </c>
      <c r="H184" s="59" t="s">
        <v>194</v>
      </c>
      <c r="I184" s="60" t="s">
        <v>178</v>
      </c>
      <c r="J184" s="60"/>
      <c r="K184" s="59">
        <v>157.5</v>
      </c>
      <c r="L184" s="59" t="str">
        <f>"86,4596"</f>
        <v>86,4596</v>
      </c>
      <c r="M184" s="59"/>
    </row>
    <row r="185" spans="1:13">
      <c r="A185" s="63" t="s">
        <v>1654</v>
      </c>
      <c r="B185" s="63" t="s">
        <v>1655</v>
      </c>
      <c r="C185" s="63" t="s">
        <v>1656</v>
      </c>
      <c r="D185" s="63" t="str">
        <f>"0,5471"</f>
        <v>0,5471</v>
      </c>
      <c r="E185" s="63" t="s">
        <v>120</v>
      </c>
      <c r="F185" s="63" t="s">
        <v>441</v>
      </c>
      <c r="G185" s="64" t="s">
        <v>21</v>
      </c>
      <c r="H185" s="63" t="s">
        <v>83</v>
      </c>
      <c r="I185" s="64" t="s">
        <v>30</v>
      </c>
      <c r="J185" s="64"/>
      <c r="K185" s="63">
        <v>190</v>
      </c>
      <c r="L185" s="63" t="str">
        <f>"103,9490"</f>
        <v>103,9490</v>
      </c>
      <c r="M185" s="63"/>
    </row>
    <row r="186" spans="1:13">
      <c r="A186" s="63" t="s">
        <v>1657</v>
      </c>
      <c r="B186" s="63" t="s">
        <v>1658</v>
      </c>
      <c r="C186" s="63" t="s">
        <v>1659</v>
      </c>
      <c r="D186" s="63" t="str">
        <f>"0,5514"</f>
        <v>0,5514</v>
      </c>
      <c r="E186" s="63" t="s">
        <v>17</v>
      </c>
      <c r="F186" s="63" t="s">
        <v>1518</v>
      </c>
      <c r="G186" s="63" t="s">
        <v>195</v>
      </c>
      <c r="H186" s="64" t="s">
        <v>720</v>
      </c>
      <c r="I186" s="64" t="s">
        <v>720</v>
      </c>
      <c r="J186" s="64"/>
      <c r="K186" s="63">
        <v>247.5</v>
      </c>
      <c r="L186" s="63" t="str">
        <f>"136,4715"</f>
        <v>136,4715</v>
      </c>
      <c r="M186" s="63"/>
    </row>
    <row r="187" spans="1:13">
      <c r="A187" s="63" t="s">
        <v>1660</v>
      </c>
      <c r="B187" s="63" t="s">
        <v>1661</v>
      </c>
      <c r="C187" s="63" t="s">
        <v>991</v>
      </c>
      <c r="D187" s="63" t="str">
        <f>"0,5490"</f>
        <v>0,5490</v>
      </c>
      <c r="E187" s="63" t="s">
        <v>17</v>
      </c>
      <c r="F187" s="63" t="s">
        <v>29</v>
      </c>
      <c r="G187" s="63" t="s">
        <v>42</v>
      </c>
      <c r="H187" s="63" t="s">
        <v>43</v>
      </c>
      <c r="I187" s="63" t="s">
        <v>625</v>
      </c>
      <c r="J187" s="64"/>
      <c r="K187" s="63">
        <v>177.5</v>
      </c>
      <c r="L187" s="63" t="str">
        <f>"97,4564"</f>
        <v>97,4564</v>
      </c>
      <c r="M187" s="63"/>
    </row>
    <row r="188" spans="1:13">
      <c r="A188" s="63" t="s">
        <v>1662</v>
      </c>
      <c r="B188" s="63" t="s">
        <v>1663</v>
      </c>
      <c r="C188" s="63" t="s">
        <v>1664</v>
      </c>
      <c r="D188" s="63" t="str">
        <f>"0,5585"</f>
        <v>0,5585</v>
      </c>
      <c r="E188" s="63" t="s">
        <v>475</v>
      </c>
      <c r="F188" s="63" t="s">
        <v>990</v>
      </c>
      <c r="G188" s="63" t="s">
        <v>186</v>
      </c>
      <c r="H188" s="63" t="s">
        <v>44</v>
      </c>
      <c r="I188" s="64" t="s">
        <v>31</v>
      </c>
      <c r="J188" s="64"/>
      <c r="K188" s="63">
        <v>215</v>
      </c>
      <c r="L188" s="63" t="str">
        <f>"120,0777"</f>
        <v>120,0777</v>
      </c>
      <c r="M188" s="63"/>
    </row>
    <row r="189" spans="1:13">
      <c r="A189" s="63" t="s">
        <v>279</v>
      </c>
      <c r="B189" s="63" t="s">
        <v>283</v>
      </c>
      <c r="C189" s="63" t="s">
        <v>281</v>
      </c>
      <c r="D189" s="63" t="str">
        <f>"0,5504"</f>
        <v>0,5504</v>
      </c>
      <c r="E189" s="63" t="s">
        <v>17</v>
      </c>
      <c r="F189" s="63" t="s">
        <v>282</v>
      </c>
      <c r="G189" s="63" t="s">
        <v>43</v>
      </c>
      <c r="H189" s="64"/>
      <c r="I189" s="64"/>
      <c r="J189" s="64"/>
      <c r="K189" s="63">
        <v>170</v>
      </c>
      <c r="L189" s="63" t="str">
        <f>"93,5595"</f>
        <v>93,5595</v>
      </c>
      <c r="M189" s="63"/>
    </row>
    <row r="190" spans="1:13">
      <c r="A190" s="63" t="s">
        <v>1665</v>
      </c>
      <c r="B190" s="63" t="s">
        <v>1666</v>
      </c>
      <c r="C190" s="63" t="s">
        <v>1667</v>
      </c>
      <c r="D190" s="63" t="str">
        <f>"0,6036"</f>
        <v>0,6036</v>
      </c>
      <c r="E190" s="63" t="s">
        <v>177</v>
      </c>
      <c r="F190" s="63" t="s">
        <v>822</v>
      </c>
      <c r="G190" s="63" t="s">
        <v>565</v>
      </c>
      <c r="H190" s="64" t="s">
        <v>295</v>
      </c>
      <c r="I190" s="64" t="s">
        <v>295</v>
      </c>
      <c r="J190" s="64"/>
      <c r="K190" s="63">
        <v>207.5</v>
      </c>
      <c r="L190" s="63" t="str">
        <f>"125,2520"</f>
        <v>125,2520</v>
      </c>
      <c r="M190" s="63"/>
    </row>
    <row r="191" spans="1:13">
      <c r="A191" s="63" t="s">
        <v>1668</v>
      </c>
      <c r="B191" s="63" t="s">
        <v>1669</v>
      </c>
      <c r="C191" s="63" t="s">
        <v>1670</v>
      </c>
      <c r="D191" s="63" t="str">
        <f>"0,6169"</f>
        <v>0,6169</v>
      </c>
      <c r="E191" s="63" t="s">
        <v>120</v>
      </c>
      <c r="F191" s="63" t="s">
        <v>1671</v>
      </c>
      <c r="G191" s="63" t="s">
        <v>21</v>
      </c>
      <c r="H191" s="64" t="s">
        <v>67</v>
      </c>
      <c r="I191" s="64" t="s">
        <v>227</v>
      </c>
      <c r="J191" s="64"/>
      <c r="K191" s="63">
        <v>180</v>
      </c>
      <c r="L191" s="63" t="str">
        <f>"111,0416"</f>
        <v>111,0416</v>
      </c>
      <c r="M191" s="63"/>
    </row>
    <row r="192" spans="1:13">
      <c r="A192" s="63" t="s">
        <v>1672</v>
      </c>
      <c r="B192" s="63" t="s">
        <v>1673</v>
      </c>
      <c r="C192" s="63" t="s">
        <v>1674</v>
      </c>
      <c r="D192" s="63" t="str">
        <f>"0,6321"</f>
        <v>0,6321</v>
      </c>
      <c r="E192" s="63" t="s">
        <v>177</v>
      </c>
      <c r="F192" s="63" t="s">
        <v>354</v>
      </c>
      <c r="G192" s="63" t="s">
        <v>21</v>
      </c>
      <c r="H192" s="63" t="s">
        <v>227</v>
      </c>
      <c r="I192" s="63" t="s">
        <v>83</v>
      </c>
      <c r="J192" s="64"/>
      <c r="K192" s="63">
        <v>190</v>
      </c>
      <c r="L192" s="63" t="str">
        <f>"120,1032"</f>
        <v>120,1032</v>
      </c>
      <c r="M192" s="63"/>
    </row>
    <row r="193" spans="1:13">
      <c r="A193" s="63" t="s">
        <v>1675</v>
      </c>
      <c r="B193" s="63" t="s">
        <v>1676</v>
      </c>
      <c r="C193" s="63" t="s">
        <v>1677</v>
      </c>
      <c r="D193" s="63" t="str">
        <f>"0,6213"</f>
        <v>0,6213</v>
      </c>
      <c r="E193" s="63" t="s">
        <v>17</v>
      </c>
      <c r="F193" s="63" t="s">
        <v>72</v>
      </c>
      <c r="G193" s="63" t="s">
        <v>21</v>
      </c>
      <c r="H193" s="64" t="s">
        <v>83</v>
      </c>
      <c r="I193" s="63" t="s">
        <v>83</v>
      </c>
      <c r="J193" s="64"/>
      <c r="K193" s="63">
        <v>190</v>
      </c>
      <c r="L193" s="63" t="str">
        <f>"118,0421"</f>
        <v>118,0421</v>
      </c>
      <c r="M193" s="63"/>
    </row>
    <row r="194" spans="1:13">
      <c r="A194" s="63" t="s">
        <v>1678</v>
      </c>
      <c r="B194" s="63" t="s">
        <v>1679</v>
      </c>
      <c r="C194" s="63" t="s">
        <v>1680</v>
      </c>
      <c r="D194" s="63" t="str">
        <f>"0,6682"</f>
        <v>0,6682</v>
      </c>
      <c r="E194" s="63" t="s">
        <v>17</v>
      </c>
      <c r="F194" s="63" t="s">
        <v>72</v>
      </c>
      <c r="G194" s="63" t="s">
        <v>67</v>
      </c>
      <c r="H194" s="63" t="s">
        <v>188</v>
      </c>
      <c r="I194" s="63" t="s">
        <v>831</v>
      </c>
      <c r="J194" s="64"/>
      <c r="K194" s="63">
        <v>202.5</v>
      </c>
      <c r="L194" s="63" t="str">
        <f>"135,3181"</f>
        <v>135,3181</v>
      </c>
      <c r="M194" s="63"/>
    </row>
    <row r="195" spans="1:13">
      <c r="A195" s="61" t="s">
        <v>1681</v>
      </c>
      <c r="B195" s="61" t="s">
        <v>1682</v>
      </c>
      <c r="C195" s="61" t="s">
        <v>1664</v>
      </c>
      <c r="D195" s="61" t="str">
        <f>"0,7337"</f>
        <v>0,7337</v>
      </c>
      <c r="E195" s="61" t="s">
        <v>120</v>
      </c>
      <c r="F195" s="61" t="s">
        <v>1353</v>
      </c>
      <c r="G195" s="61" t="s">
        <v>194</v>
      </c>
      <c r="H195" s="61" t="s">
        <v>178</v>
      </c>
      <c r="I195" s="61" t="s">
        <v>42</v>
      </c>
      <c r="J195" s="62"/>
      <c r="K195" s="61">
        <v>165</v>
      </c>
      <c r="L195" s="61" t="str">
        <f>"121,0633"</f>
        <v>121,0633</v>
      </c>
      <c r="M195" s="61"/>
    </row>
    <row r="197" spans="1:13" ht="15">
      <c r="A197" s="58" t="s">
        <v>617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3">
      <c r="A198" s="59" t="s">
        <v>1683</v>
      </c>
      <c r="B198" s="59" t="s">
        <v>1684</v>
      </c>
      <c r="C198" s="59" t="s">
        <v>1685</v>
      </c>
      <c r="D198" s="59" t="str">
        <f>"0,5349"</f>
        <v>0,5349</v>
      </c>
      <c r="E198" s="59" t="s">
        <v>17</v>
      </c>
      <c r="F198" s="59" t="s">
        <v>72</v>
      </c>
      <c r="G198" s="60" t="s">
        <v>52</v>
      </c>
      <c r="H198" s="59" t="s">
        <v>52</v>
      </c>
      <c r="I198" s="59" t="s">
        <v>36</v>
      </c>
      <c r="J198" s="59" t="s">
        <v>1226</v>
      </c>
      <c r="K198" s="59">
        <v>240</v>
      </c>
      <c r="L198" s="59" t="str">
        <f>"128,3724"</f>
        <v>128,3724</v>
      </c>
      <c r="M198" s="59"/>
    </row>
    <row r="199" spans="1:13">
      <c r="A199" s="63" t="s">
        <v>995</v>
      </c>
      <c r="B199" s="63" t="s">
        <v>996</v>
      </c>
      <c r="C199" s="63" t="s">
        <v>1686</v>
      </c>
      <c r="D199" s="63" t="str">
        <f>"0,5384"</f>
        <v>0,5384</v>
      </c>
      <c r="E199" s="63" t="s">
        <v>17</v>
      </c>
      <c r="F199" s="63" t="s">
        <v>72</v>
      </c>
      <c r="G199" s="64" t="s">
        <v>254</v>
      </c>
      <c r="H199" s="63" t="s">
        <v>254</v>
      </c>
      <c r="I199" s="64" t="s">
        <v>580</v>
      </c>
      <c r="J199" s="64"/>
      <c r="K199" s="63">
        <v>192.5</v>
      </c>
      <c r="L199" s="63" t="str">
        <f>"103,6362"</f>
        <v>103,6362</v>
      </c>
      <c r="M199" s="63" t="s">
        <v>1611</v>
      </c>
    </row>
    <row r="200" spans="1:13">
      <c r="A200" s="63" t="s">
        <v>1687</v>
      </c>
      <c r="B200" s="63" t="s">
        <v>1688</v>
      </c>
      <c r="C200" s="63" t="s">
        <v>1689</v>
      </c>
      <c r="D200" s="63" t="str">
        <f>"0,5450"</f>
        <v>0,5450</v>
      </c>
      <c r="E200" s="63" t="s">
        <v>17</v>
      </c>
      <c r="F200" s="63" t="s">
        <v>786</v>
      </c>
      <c r="G200" s="63" t="s">
        <v>379</v>
      </c>
      <c r="H200" s="63" t="s">
        <v>83</v>
      </c>
      <c r="I200" s="64" t="s">
        <v>30</v>
      </c>
      <c r="J200" s="64"/>
      <c r="K200" s="63">
        <v>190</v>
      </c>
      <c r="L200" s="63" t="str">
        <f>"103,5557"</f>
        <v>103,5557</v>
      </c>
      <c r="M200" s="63"/>
    </row>
    <row r="201" spans="1:13">
      <c r="A201" s="63" t="s">
        <v>1690</v>
      </c>
      <c r="B201" s="63" t="s">
        <v>1691</v>
      </c>
      <c r="C201" s="63" t="s">
        <v>1692</v>
      </c>
      <c r="D201" s="63" t="str">
        <f>"0,5386"</f>
        <v>0,5386</v>
      </c>
      <c r="E201" s="63" t="s">
        <v>17</v>
      </c>
      <c r="F201" s="63" t="s">
        <v>29</v>
      </c>
      <c r="G201" s="63" t="s">
        <v>160</v>
      </c>
      <c r="H201" s="63" t="s">
        <v>23</v>
      </c>
      <c r="I201" s="63" t="s">
        <v>173</v>
      </c>
      <c r="J201" s="64"/>
      <c r="K201" s="63">
        <v>130</v>
      </c>
      <c r="L201" s="63" t="str">
        <f>"70,0245"</f>
        <v>70,0245</v>
      </c>
      <c r="M201" s="63"/>
    </row>
    <row r="202" spans="1:13">
      <c r="A202" s="63" t="s">
        <v>1693</v>
      </c>
      <c r="B202" s="63" t="s">
        <v>1694</v>
      </c>
      <c r="C202" s="63" t="s">
        <v>1695</v>
      </c>
      <c r="D202" s="63" t="str">
        <f>"0,5614"</f>
        <v>0,5614</v>
      </c>
      <c r="E202" s="63" t="s">
        <v>17</v>
      </c>
      <c r="F202" s="63" t="s">
        <v>786</v>
      </c>
      <c r="G202" s="63" t="s">
        <v>33</v>
      </c>
      <c r="H202" s="63" t="s">
        <v>20</v>
      </c>
      <c r="I202" s="64" t="s">
        <v>43</v>
      </c>
      <c r="J202" s="64"/>
      <c r="K202" s="63">
        <v>160</v>
      </c>
      <c r="L202" s="63" t="str">
        <f>"89,8320"</f>
        <v>89,8320</v>
      </c>
      <c r="M202" s="63"/>
    </row>
    <row r="203" spans="1:13">
      <c r="A203" s="63" t="s">
        <v>1696</v>
      </c>
      <c r="B203" s="63" t="s">
        <v>1697</v>
      </c>
      <c r="C203" s="63" t="s">
        <v>1685</v>
      </c>
      <c r="D203" s="63" t="str">
        <f>"0,5953"</f>
        <v>0,5953</v>
      </c>
      <c r="E203" s="63" t="s">
        <v>17</v>
      </c>
      <c r="F203" s="63" t="s">
        <v>1698</v>
      </c>
      <c r="G203" s="63" t="s">
        <v>836</v>
      </c>
      <c r="H203" s="64" t="s">
        <v>33</v>
      </c>
      <c r="I203" s="64" t="s">
        <v>33</v>
      </c>
      <c r="J203" s="64"/>
      <c r="K203" s="63">
        <v>142.5</v>
      </c>
      <c r="L203" s="63" t="str">
        <f>"84,8341"</f>
        <v>84,8341</v>
      </c>
      <c r="M203" s="63"/>
    </row>
    <row r="204" spans="1:13">
      <c r="A204" s="61" t="s">
        <v>1699</v>
      </c>
      <c r="B204" s="61" t="s">
        <v>1700</v>
      </c>
      <c r="C204" s="61" t="s">
        <v>1701</v>
      </c>
      <c r="D204" s="61" t="str">
        <f>"0,7166"</f>
        <v>0,7166</v>
      </c>
      <c r="E204" s="61" t="s">
        <v>120</v>
      </c>
      <c r="F204" s="61" t="s">
        <v>1702</v>
      </c>
      <c r="G204" s="61" t="s">
        <v>194</v>
      </c>
      <c r="H204" s="61" t="s">
        <v>42</v>
      </c>
      <c r="I204" s="61" t="s">
        <v>43</v>
      </c>
      <c r="J204" s="62"/>
      <c r="K204" s="61">
        <v>170</v>
      </c>
      <c r="L204" s="61" t="str">
        <f>"121,8169"</f>
        <v>121,8169</v>
      </c>
      <c r="M204" s="61" t="s">
        <v>1703</v>
      </c>
    </row>
    <row r="206" spans="1:13" ht="15">
      <c r="A206" s="58" t="s">
        <v>1704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3">
      <c r="A207" s="59" t="s">
        <v>1705</v>
      </c>
      <c r="B207" s="59" t="s">
        <v>1706</v>
      </c>
      <c r="C207" s="59" t="s">
        <v>1707</v>
      </c>
      <c r="D207" s="59" t="str">
        <f>"0,5201"</f>
        <v>0,5201</v>
      </c>
      <c r="E207" s="59" t="s">
        <v>17</v>
      </c>
      <c r="F207" s="59" t="s">
        <v>972</v>
      </c>
      <c r="G207" s="59" t="s">
        <v>61</v>
      </c>
      <c r="H207" s="60" t="s">
        <v>31</v>
      </c>
      <c r="I207" s="60" t="s">
        <v>31</v>
      </c>
      <c r="J207" s="60"/>
      <c r="K207" s="59">
        <v>210</v>
      </c>
      <c r="L207" s="59" t="str">
        <f>"109,2158"</f>
        <v>109,2158</v>
      </c>
      <c r="M207" s="59"/>
    </row>
    <row r="208" spans="1:13">
      <c r="A208" s="63" t="s">
        <v>1708</v>
      </c>
      <c r="B208" s="63" t="s">
        <v>1709</v>
      </c>
      <c r="C208" s="63" t="s">
        <v>1710</v>
      </c>
      <c r="D208" s="63" t="str">
        <f>"0,5252"</f>
        <v>0,5252</v>
      </c>
      <c r="E208" s="63" t="s">
        <v>17</v>
      </c>
      <c r="F208" s="63" t="s">
        <v>1711</v>
      </c>
      <c r="G208" s="63" t="s">
        <v>61</v>
      </c>
      <c r="H208" s="63" t="s">
        <v>44</v>
      </c>
      <c r="I208" s="64"/>
      <c r="J208" s="64"/>
      <c r="K208" s="63">
        <v>215</v>
      </c>
      <c r="L208" s="63" t="str">
        <f>"112,9126"</f>
        <v>112,9126</v>
      </c>
      <c r="M208" s="63"/>
    </row>
    <row r="209" spans="1:13">
      <c r="A209" s="63" t="s">
        <v>1712</v>
      </c>
      <c r="B209" s="63" t="s">
        <v>1713</v>
      </c>
      <c r="C209" s="63" t="s">
        <v>1714</v>
      </c>
      <c r="D209" s="63" t="str">
        <f>"0,5010"</f>
        <v>0,5010</v>
      </c>
      <c r="E209" s="63" t="s">
        <v>17</v>
      </c>
      <c r="F209" s="63" t="s">
        <v>153</v>
      </c>
      <c r="G209" s="64" t="s">
        <v>186</v>
      </c>
      <c r="H209" s="63" t="s">
        <v>44</v>
      </c>
      <c r="I209" s="64" t="s">
        <v>31</v>
      </c>
      <c r="J209" s="64"/>
      <c r="K209" s="63">
        <v>215</v>
      </c>
      <c r="L209" s="63" t="str">
        <f>"107,7236"</f>
        <v>107,7236</v>
      </c>
      <c r="M209" s="63"/>
    </row>
    <row r="210" spans="1:13">
      <c r="A210" s="63" t="s">
        <v>1715</v>
      </c>
      <c r="B210" s="63" t="s">
        <v>1716</v>
      </c>
      <c r="C210" s="63" t="s">
        <v>1717</v>
      </c>
      <c r="D210" s="63" t="str">
        <f>"0,5173"</f>
        <v>0,5173</v>
      </c>
      <c r="E210" s="63" t="s">
        <v>17</v>
      </c>
      <c r="F210" s="63" t="s">
        <v>1518</v>
      </c>
      <c r="G210" s="63" t="s">
        <v>43</v>
      </c>
      <c r="H210" s="64" t="s">
        <v>295</v>
      </c>
      <c r="I210" s="64" t="s">
        <v>211</v>
      </c>
      <c r="J210" s="64"/>
      <c r="K210" s="63">
        <v>170</v>
      </c>
      <c r="L210" s="63" t="str">
        <f>"87,9367"</f>
        <v>87,9367</v>
      </c>
      <c r="M210" s="63"/>
    </row>
    <row r="211" spans="1:13">
      <c r="A211" s="63" t="s">
        <v>1708</v>
      </c>
      <c r="B211" s="63" t="s">
        <v>1718</v>
      </c>
      <c r="C211" s="63" t="s">
        <v>1710</v>
      </c>
      <c r="D211" s="63" t="str">
        <f>"0,5478"</f>
        <v>0,5478</v>
      </c>
      <c r="E211" s="63" t="s">
        <v>17</v>
      </c>
      <c r="F211" s="63" t="s">
        <v>1711</v>
      </c>
      <c r="G211" s="63" t="s">
        <v>61</v>
      </c>
      <c r="H211" s="63" t="s">
        <v>44</v>
      </c>
      <c r="I211" s="64"/>
      <c r="J211" s="64"/>
      <c r="K211" s="63">
        <v>215</v>
      </c>
      <c r="L211" s="63" t="str">
        <f>"117,7679"</f>
        <v>117,7679</v>
      </c>
      <c r="M211" s="63"/>
    </row>
    <row r="212" spans="1:13">
      <c r="A212" s="63" t="s">
        <v>1719</v>
      </c>
      <c r="B212" s="63" t="s">
        <v>1720</v>
      </c>
      <c r="C212" s="63" t="s">
        <v>1721</v>
      </c>
      <c r="D212" s="63" t="str">
        <f>"0,6074"</f>
        <v>0,6074</v>
      </c>
      <c r="E212" s="63" t="s">
        <v>120</v>
      </c>
      <c r="F212" s="63" t="s">
        <v>1722</v>
      </c>
      <c r="G212" s="63" t="s">
        <v>83</v>
      </c>
      <c r="H212" s="63" t="s">
        <v>30</v>
      </c>
      <c r="I212" s="63" t="s">
        <v>186</v>
      </c>
      <c r="J212" s="63" t="s">
        <v>61</v>
      </c>
      <c r="K212" s="63">
        <v>205</v>
      </c>
      <c r="L212" s="63" t="str">
        <f>"124,5174"</f>
        <v>124,5174</v>
      </c>
      <c r="M212" s="63"/>
    </row>
    <row r="213" spans="1:13">
      <c r="A213" s="61" t="s">
        <v>1723</v>
      </c>
      <c r="B213" s="61" t="s">
        <v>1724</v>
      </c>
      <c r="C213" s="61" t="s">
        <v>1725</v>
      </c>
      <c r="D213" s="61" t="str">
        <f>"0,6511"</f>
        <v>0,6511</v>
      </c>
      <c r="E213" s="61" t="s">
        <v>17</v>
      </c>
      <c r="F213" s="61" t="s">
        <v>282</v>
      </c>
      <c r="G213" s="61" t="s">
        <v>32</v>
      </c>
      <c r="H213" s="61" t="s">
        <v>19</v>
      </c>
      <c r="I213" s="61" t="s">
        <v>33</v>
      </c>
      <c r="J213" s="62"/>
      <c r="K213" s="61">
        <v>150</v>
      </c>
      <c r="L213" s="61" t="str">
        <f>"97,6693"</f>
        <v>97,6693</v>
      </c>
      <c r="M213" s="61"/>
    </row>
    <row r="215" spans="1:13" ht="15">
      <c r="E215" s="65" t="s">
        <v>84</v>
      </c>
    </row>
    <row r="216" spans="1:13" ht="15">
      <c r="E216" s="65" t="s">
        <v>85</v>
      </c>
    </row>
    <row r="217" spans="1:13" ht="15">
      <c r="E217" s="65" t="s">
        <v>86</v>
      </c>
    </row>
    <row r="218" spans="1:13">
      <c r="E218" s="55" t="s">
        <v>87</v>
      </c>
    </row>
    <row r="219" spans="1:13">
      <c r="E219" s="55" t="s">
        <v>88</v>
      </c>
    </row>
    <row r="220" spans="1:13">
      <c r="E220" s="55" t="s">
        <v>89</v>
      </c>
    </row>
    <row r="223" spans="1:13" ht="18">
      <c r="A223" s="66" t="s">
        <v>90</v>
      </c>
      <c r="B223" s="66"/>
    </row>
    <row r="224" spans="1:13" ht="15">
      <c r="A224" s="67" t="s">
        <v>284</v>
      </c>
      <c r="B224" s="67"/>
    </row>
    <row r="225" spans="1:5" ht="14.25">
      <c r="A225" s="69" t="s">
        <v>285</v>
      </c>
      <c r="B225" s="70"/>
    </row>
    <row r="226" spans="1:5" ht="15">
      <c r="A226" s="71" t="s">
        <v>0</v>
      </c>
      <c r="B226" s="71" t="s">
        <v>93</v>
      </c>
      <c r="C226" s="71" t="s">
        <v>94</v>
      </c>
      <c r="D226" s="71" t="s">
        <v>7</v>
      </c>
      <c r="E226" s="71" t="s">
        <v>95</v>
      </c>
    </row>
    <row r="227" spans="1:5">
      <c r="A227" s="68" t="s">
        <v>1277</v>
      </c>
      <c r="B227" s="55" t="s">
        <v>286</v>
      </c>
      <c r="C227" s="55" t="s">
        <v>411</v>
      </c>
      <c r="D227" s="55" t="s">
        <v>482</v>
      </c>
      <c r="E227" s="72" t="s">
        <v>1726</v>
      </c>
    </row>
    <row r="228" spans="1:5">
      <c r="A228" s="68" t="s">
        <v>1274</v>
      </c>
      <c r="B228" s="55" t="s">
        <v>416</v>
      </c>
      <c r="C228" s="55" t="s">
        <v>411</v>
      </c>
      <c r="D228" s="55" t="s">
        <v>141</v>
      </c>
      <c r="E228" s="72" t="s">
        <v>1727</v>
      </c>
    </row>
    <row r="229" spans="1:5">
      <c r="A229" s="68" t="s">
        <v>1303</v>
      </c>
      <c r="B229" s="55" t="s">
        <v>302</v>
      </c>
      <c r="C229" s="55" t="s">
        <v>287</v>
      </c>
      <c r="D229" s="55" t="s">
        <v>142</v>
      </c>
      <c r="E229" s="72" t="s">
        <v>1728</v>
      </c>
    </row>
    <row r="230" spans="1:5">
      <c r="A230" s="68" t="s">
        <v>1326</v>
      </c>
      <c r="B230" s="55" t="s">
        <v>416</v>
      </c>
      <c r="C230" s="55" t="s">
        <v>293</v>
      </c>
      <c r="D230" s="55" t="s">
        <v>142</v>
      </c>
      <c r="E230" s="72" t="s">
        <v>1729</v>
      </c>
    </row>
    <row r="231" spans="1:5">
      <c r="A231" s="68" t="s">
        <v>1309</v>
      </c>
      <c r="B231" s="55" t="s">
        <v>286</v>
      </c>
      <c r="C231" s="55" t="s">
        <v>287</v>
      </c>
      <c r="D231" s="55" t="s">
        <v>1125</v>
      </c>
      <c r="E231" s="72" t="s">
        <v>1730</v>
      </c>
    </row>
    <row r="232" spans="1:5">
      <c r="A232" s="68" t="s">
        <v>1321</v>
      </c>
      <c r="B232" s="55" t="s">
        <v>302</v>
      </c>
      <c r="C232" s="55" t="s">
        <v>293</v>
      </c>
      <c r="D232" s="55" t="s">
        <v>1125</v>
      </c>
      <c r="E232" s="72" t="s">
        <v>1731</v>
      </c>
    </row>
    <row r="233" spans="1:5">
      <c r="A233" s="68" t="s">
        <v>1306</v>
      </c>
      <c r="B233" s="55" t="s">
        <v>416</v>
      </c>
      <c r="C233" s="55" t="s">
        <v>287</v>
      </c>
      <c r="D233" s="55" t="s">
        <v>125</v>
      </c>
      <c r="E233" s="72" t="s">
        <v>1732</v>
      </c>
    </row>
    <row r="235" spans="1:5" ht="14.25">
      <c r="A235" s="69" t="s">
        <v>92</v>
      </c>
      <c r="B235" s="70"/>
    </row>
    <row r="236" spans="1:5" ht="15">
      <c r="A236" s="71" t="s">
        <v>0</v>
      </c>
      <c r="B236" s="71" t="s">
        <v>93</v>
      </c>
      <c r="C236" s="71" t="s">
        <v>94</v>
      </c>
      <c r="D236" s="71" t="s">
        <v>7</v>
      </c>
      <c r="E236" s="71" t="s">
        <v>95</v>
      </c>
    </row>
    <row r="237" spans="1:5">
      <c r="A237" s="68" t="s">
        <v>1280</v>
      </c>
      <c r="B237" s="55" t="s">
        <v>96</v>
      </c>
      <c r="C237" s="55" t="s">
        <v>411</v>
      </c>
      <c r="D237" s="55" t="s">
        <v>482</v>
      </c>
      <c r="E237" s="72" t="s">
        <v>1733</v>
      </c>
    </row>
    <row r="239" spans="1:5" ht="14.25">
      <c r="A239" s="69" t="s">
        <v>100</v>
      </c>
      <c r="B239" s="70"/>
    </row>
    <row r="240" spans="1:5" ht="15">
      <c r="A240" s="71" t="s">
        <v>0</v>
      </c>
      <c r="B240" s="71" t="s">
        <v>93</v>
      </c>
      <c r="C240" s="71" t="s">
        <v>94</v>
      </c>
      <c r="D240" s="71" t="s">
        <v>7</v>
      </c>
      <c r="E240" s="71" t="s">
        <v>95</v>
      </c>
    </row>
    <row r="241" spans="1:5">
      <c r="A241" s="68" t="s">
        <v>1330</v>
      </c>
      <c r="B241" s="55" t="s">
        <v>100</v>
      </c>
      <c r="C241" s="55" t="s">
        <v>293</v>
      </c>
      <c r="D241" s="55" t="s">
        <v>122</v>
      </c>
      <c r="E241" s="72" t="s">
        <v>1734</v>
      </c>
    </row>
    <row r="242" spans="1:5">
      <c r="A242" s="68" t="s">
        <v>1289</v>
      </c>
      <c r="B242" s="55" t="s">
        <v>100</v>
      </c>
      <c r="C242" s="55" t="s">
        <v>289</v>
      </c>
      <c r="D242" s="55" t="s">
        <v>170</v>
      </c>
      <c r="E242" s="72" t="s">
        <v>1735</v>
      </c>
    </row>
    <row r="243" spans="1:5">
      <c r="A243" s="68" t="s">
        <v>1256</v>
      </c>
      <c r="B243" s="55" t="s">
        <v>100</v>
      </c>
      <c r="C243" s="55" t="s">
        <v>1008</v>
      </c>
      <c r="D243" s="55" t="s">
        <v>482</v>
      </c>
      <c r="E243" s="72" t="s">
        <v>1736</v>
      </c>
    </row>
    <row r="244" spans="1:5">
      <c r="A244" s="68" t="s">
        <v>1263</v>
      </c>
      <c r="B244" s="55" t="s">
        <v>100</v>
      </c>
      <c r="C244" s="55" t="s">
        <v>626</v>
      </c>
      <c r="D244" s="55" t="s">
        <v>142</v>
      </c>
      <c r="E244" s="72" t="s">
        <v>1737</v>
      </c>
    </row>
    <row r="245" spans="1:5">
      <c r="A245" s="68" t="s">
        <v>1312</v>
      </c>
      <c r="B245" s="55" t="s">
        <v>100</v>
      </c>
      <c r="C245" s="55" t="s">
        <v>287</v>
      </c>
      <c r="D245" s="55" t="s">
        <v>169</v>
      </c>
      <c r="E245" s="72" t="s">
        <v>1738</v>
      </c>
    </row>
    <row r="246" spans="1:5">
      <c r="A246" s="68" t="s">
        <v>1315</v>
      </c>
      <c r="B246" s="55" t="s">
        <v>100</v>
      </c>
      <c r="C246" s="55" t="s">
        <v>287</v>
      </c>
      <c r="D246" s="55" t="s">
        <v>169</v>
      </c>
      <c r="E246" s="72" t="s">
        <v>1739</v>
      </c>
    </row>
    <row r="247" spans="1:5">
      <c r="A247" s="68" t="s">
        <v>1277</v>
      </c>
      <c r="B247" s="55" t="s">
        <v>100</v>
      </c>
      <c r="C247" s="55" t="s">
        <v>411</v>
      </c>
      <c r="D247" s="55" t="s">
        <v>482</v>
      </c>
      <c r="E247" s="72" t="s">
        <v>1726</v>
      </c>
    </row>
    <row r="248" spans="1:5">
      <c r="A248" s="68" t="s">
        <v>1266</v>
      </c>
      <c r="B248" s="55" t="s">
        <v>100</v>
      </c>
      <c r="C248" s="55" t="s">
        <v>626</v>
      </c>
      <c r="D248" s="55" t="s">
        <v>141</v>
      </c>
      <c r="E248" s="72" t="s">
        <v>1740</v>
      </c>
    </row>
    <row r="249" spans="1:5">
      <c r="A249" s="68" t="s">
        <v>1293</v>
      </c>
      <c r="B249" s="55" t="s">
        <v>100</v>
      </c>
      <c r="C249" s="55" t="s">
        <v>289</v>
      </c>
      <c r="D249" s="55" t="s">
        <v>142</v>
      </c>
      <c r="E249" s="72" t="s">
        <v>1741</v>
      </c>
    </row>
    <row r="250" spans="1:5">
      <c r="A250" s="68" t="s">
        <v>783</v>
      </c>
      <c r="B250" s="55" t="s">
        <v>100</v>
      </c>
      <c r="C250" s="55" t="s">
        <v>310</v>
      </c>
      <c r="D250" s="55" t="s">
        <v>170</v>
      </c>
      <c r="E250" s="72" t="s">
        <v>1742</v>
      </c>
    </row>
    <row r="251" spans="1:5">
      <c r="A251" s="68" t="s">
        <v>1259</v>
      </c>
      <c r="B251" s="55" t="s">
        <v>100</v>
      </c>
      <c r="C251" s="55" t="s">
        <v>1008</v>
      </c>
      <c r="D251" s="55" t="s">
        <v>134</v>
      </c>
      <c r="E251" s="72" t="s">
        <v>1743</v>
      </c>
    </row>
    <row r="252" spans="1:5">
      <c r="A252" s="68" t="s">
        <v>1270</v>
      </c>
      <c r="B252" s="55" t="s">
        <v>100</v>
      </c>
      <c r="C252" s="55" t="s">
        <v>626</v>
      </c>
      <c r="D252" s="55" t="s">
        <v>125</v>
      </c>
      <c r="E252" s="72" t="s">
        <v>1744</v>
      </c>
    </row>
    <row r="253" spans="1:5">
      <c r="A253" s="68" t="s">
        <v>1284</v>
      </c>
      <c r="B253" s="55" t="s">
        <v>100</v>
      </c>
      <c r="C253" s="55" t="s">
        <v>411</v>
      </c>
      <c r="D253" s="55" t="s">
        <v>148</v>
      </c>
      <c r="E253" s="72" t="s">
        <v>1745</v>
      </c>
    </row>
    <row r="254" spans="1:5">
      <c r="A254" s="68" t="s">
        <v>1297</v>
      </c>
      <c r="B254" s="55" t="s">
        <v>100</v>
      </c>
      <c r="C254" s="55" t="s">
        <v>289</v>
      </c>
      <c r="D254" s="55" t="s">
        <v>154</v>
      </c>
      <c r="E254" s="72" t="s">
        <v>1746</v>
      </c>
    </row>
    <row r="256" spans="1:5" ht="14.25">
      <c r="A256" s="69" t="s">
        <v>297</v>
      </c>
      <c r="B256" s="70"/>
    </row>
    <row r="257" spans="1:5" ht="15">
      <c r="A257" s="71" t="s">
        <v>0</v>
      </c>
      <c r="B257" s="71" t="s">
        <v>93</v>
      </c>
      <c r="C257" s="71" t="s">
        <v>94</v>
      </c>
      <c r="D257" s="71" t="s">
        <v>7</v>
      </c>
      <c r="E257" s="71" t="s">
        <v>95</v>
      </c>
    </row>
    <row r="258" spans="1:5">
      <c r="A258" s="68" t="s">
        <v>1337</v>
      </c>
      <c r="B258" s="55" t="s">
        <v>343</v>
      </c>
      <c r="C258" s="55" t="s">
        <v>293</v>
      </c>
      <c r="D258" s="55" t="s">
        <v>477</v>
      </c>
      <c r="E258" s="72" t="s">
        <v>1747</v>
      </c>
    </row>
    <row r="259" spans="1:5">
      <c r="A259" s="68" t="s">
        <v>1263</v>
      </c>
      <c r="B259" s="55" t="s">
        <v>435</v>
      </c>
      <c r="C259" s="55" t="s">
        <v>626</v>
      </c>
      <c r="D259" s="55" t="s">
        <v>142</v>
      </c>
      <c r="E259" s="72" t="s">
        <v>1748</v>
      </c>
    </row>
    <row r="260" spans="1:5">
      <c r="A260" s="68" t="s">
        <v>1300</v>
      </c>
      <c r="B260" s="55" t="s">
        <v>661</v>
      </c>
      <c r="C260" s="55" t="s">
        <v>289</v>
      </c>
      <c r="D260" s="55" t="s">
        <v>482</v>
      </c>
      <c r="E260" s="72" t="s">
        <v>1749</v>
      </c>
    </row>
    <row r="261" spans="1:5">
      <c r="A261" s="68" t="s">
        <v>1340</v>
      </c>
      <c r="B261" s="55" t="s">
        <v>343</v>
      </c>
      <c r="C261" s="55" t="s">
        <v>293</v>
      </c>
      <c r="D261" s="55" t="s">
        <v>170</v>
      </c>
      <c r="E261" s="72" t="s">
        <v>1750</v>
      </c>
    </row>
    <row r="262" spans="1:5">
      <c r="A262" s="68" t="s">
        <v>1317</v>
      </c>
      <c r="B262" s="55" t="s">
        <v>343</v>
      </c>
      <c r="C262" s="55" t="s">
        <v>287</v>
      </c>
      <c r="D262" s="55" t="s">
        <v>482</v>
      </c>
      <c r="E262" s="72" t="s">
        <v>1751</v>
      </c>
    </row>
    <row r="263" spans="1:5">
      <c r="A263" s="68" t="s">
        <v>1286</v>
      </c>
      <c r="B263" s="55" t="s">
        <v>343</v>
      </c>
      <c r="C263" s="55" t="s">
        <v>411</v>
      </c>
      <c r="D263" s="55" t="s">
        <v>148</v>
      </c>
      <c r="E263" s="72" t="s">
        <v>1752</v>
      </c>
    </row>
    <row r="264" spans="1:5">
      <c r="A264" s="68" t="s">
        <v>1346</v>
      </c>
      <c r="B264" s="55" t="s">
        <v>435</v>
      </c>
      <c r="C264" s="55" t="s">
        <v>310</v>
      </c>
      <c r="D264" s="55" t="s">
        <v>125</v>
      </c>
      <c r="E264" s="72" t="s">
        <v>1753</v>
      </c>
    </row>
    <row r="265" spans="1:5">
      <c r="A265" s="68" t="s">
        <v>1342</v>
      </c>
      <c r="B265" s="55" t="s">
        <v>435</v>
      </c>
      <c r="C265" s="55" t="s">
        <v>293</v>
      </c>
      <c r="D265" s="55" t="s">
        <v>154</v>
      </c>
      <c r="E265" s="72" t="s">
        <v>1754</v>
      </c>
    </row>
    <row r="268" spans="1:5" ht="15">
      <c r="A268" s="67" t="s">
        <v>91</v>
      </c>
      <c r="B268" s="67"/>
    </row>
    <row r="269" spans="1:5" ht="14.25">
      <c r="A269" s="69" t="s">
        <v>285</v>
      </c>
      <c r="B269" s="70"/>
    </row>
    <row r="270" spans="1:5" ht="15">
      <c r="A270" s="71" t="s">
        <v>0</v>
      </c>
      <c r="B270" s="71" t="s">
        <v>93</v>
      </c>
      <c r="C270" s="71" t="s">
        <v>94</v>
      </c>
      <c r="D270" s="71" t="s">
        <v>7</v>
      </c>
      <c r="E270" s="71" t="s">
        <v>95</v>
      </c>
    </row>
    <row r="271" spans="1:5">
      <c r="A271" s="68" t="s">
        <v>1401</v>
      </c>
      <c r="B271" s="55" t="s">
        <v>286</v>
      </c>
      <c r="C271" s="55" t="s">
        <v>293</v>
      </c>
      <c r="D271" s="55" t="s">
        <v>32</v>
      </c>
      <c r="E271" s="72" t="s">
        <v>1755</v>
      </c>
    </row>
    <row r="272" spans="1:5">
      <c r="A272" s="68" t="s">
        <v>1654</v>
      </c>
      <c r="B272" s="55" t="s">
        <v>286</v>
      </c>
      <c r="C272" s="55" t="s">
        <v>304</v>
      </c>
      <c r="D272" s="55" t="s">
        <v>83</v>
      </c>
      <c r="E272" s="72" t="s">
        <v>1756</v>
      </c>
    </row>
    <row r="273" spans="1:5">
      <c r="A273" s="68" t="s">
        <v>1463</v>
      </c>
      <c r="B273" s="55" t="s">
        <v>286</v>
      </c>
      <c r="C273" s="55" t="s">
        <v>97</v>
      </c>
      <c r="D273" s="55" t="s">
        <v>34</v>
      </c>
      <c r="E273" s="72" t="s">
        <v>1757</v>
      </c>
    </row>
    <row r="274" spans="1:5">
      <c r="A274" s="68" t="s">
        <v>1465</v>
      </c>
      <c r="B274" s="55" t="s">
        <v>286</v>
      </c>
      <c r="C274" s="55" t="s">
        <v>97</v>
      </c>
      <c r="D274" s="55" t="s">
        <v>265</v>
      </c>
      <c r="E274" s="72" t="s">
        <v>1758</v>
      </c>
    </row>
    <row r="275" spans="1:5">
      <c r="A275" s="68" t="s">
        <v>1406</v>
      </c>
      <c r="B275" s="55" t="s">
        <v>286</v>
      </c>
      <c r="C275" s="55" t="s">
        <v>293</v>
      </c>
      <c r="D275" s="55" t="s">
        <v>173</v>
      </c>
      <c r="E275" s="72" t="s">
        <v>1759</v>
      </c>
    </row>
    <row r="276" spans="1:5">
      <c r="A276" s="68" t="s">
        <v>1469</v>
      </c>
      <c r="B276" s="55" t="s">
        <v>286</v>
      </c>
      <c r="C276" s="55" t="s">
        <v>97</v>
      </c>
      <c r="D276" s="55" t="s">
        <v>883</v>
      </c>
      <c r="E276" s="72" t="s">
        <v>1760</v>
      </c>
    </row>
    <row r="277" spans="1:5">
      <c r="A277" s="68" t="s">
        <v>1506</v>
      </c>
      <c r="B277" s="55" t="s">
        <v>286</v>
      </c>
      <c r="C277" s="55" t="s">
        <v>111</v>
      </c>
      <c r="D277" s="55" t="s">
        <v>265</v>
      </c>
      <c r="E277" s="72" t="s">
        <v>1761</v>
      </c>
    </row>
    <row r="278" spans="1:5">
      <c r="A278" s="68" t="s">
        <v>1393</v>
      </c>
      <c r="B278" s="55" t="s">
        <v>416</v>
      </c>
      <c r="C278" s="55" t="s">
        <v>293</v>
      </c>
      <c r="D278" s="55" t="s">
        <v>126</v>
      </c>
      <c r="E278" s="72" t="s">
        <v>1762</v>
      </c>
    </row>
    <row r="279" spans="1:5">
      <c r="A279" s="68" t="s">
        <v>1425</v>
      </c>
      <c r="B279" s="55" t="s">
        <v>416</v>
      </c>
      <c r="C279" s="55" t="s">
        <v>310</v>
      </c>
      <c r="D279" s="55" t="s">
        <v>817</v>
      </c>
      <c r="E279" s="72" t="s">
        <v>1763</v>
      </c>
    </row>
    <row r="280" spans="1:5">
      <c r="A280" s="68" t="s">
        <v>1651</v>
      </c>
      <c r="B280" s="55" t="s">
        <v>416</v>
      </c>
      <c r="C280" s="55" t="s">
        <v>304</v>
      </c>
      <c r="D280" s="55" t="s">
        <v>194</v>
      </c>
      <c r="E280" s="72" t="s">
        <v>1764</v>
      </c>
    </row>
    <row r="281" spans="1:5">
      <c r="A281" s="68" t="s">
        <v>1385</v>
      </c>
      <c r="B281" s="55" t="s">
        <v>286</v>
      </c>
      <c r="C281" s="55" t="s">
        <v>287</v>
      </c>
      <c r="D281" s="55" t="s">
        <v>122</v>
      </c>
      <c r="E281" s="72" t="s">
        <v>1765</v>
      </c>
    </row>
    <row r="282" spans="1:5">
      <c r="A282" s="68" t="s">
        <v>1560</v>
      </c>
      <c r="B282" s="55" t="s">
        <v>286</v>
      </c>
      <c r="C282" s="55" t="s">
        <v>104</v>
      </c>
      <c r="D282" s="55" t="s">
        <v>32</v>
      </c>
      <c r="E282" s="72" t="s">
        <v>1766</v>
      </c>
    </row>
    <row r="283" spans="1:5">
      <c r="A283" s="68" t="s">
        <v>1381</v>
      </c>
      <c r="B283" s="55" t="s">
        <v>416</v>
      </c>
      <c r="C283" s="55" t="s">
        <v>287</v>
      </c>
      <c r="D283" s="55" t="s">
        <v>135</v>
      </c>
      <c r="E283" s="72" t="s">
        <v>1767</v>
      </c>
    </row>
    <row r="284" spans="1:5">
      <c r="A284" s="68" t="s">
        <v>1508</v>
      </c>
      <c r="B284" s="55" t="s">
        <v>286</v>
      </c>
      <c r="C284" s="55" t="s">
        <v>111</v>
      </c>
      <c r="D284" s="55" t="s">
        <v>126</v>
      </c>
      <c r="E284" s="72" t="s">
        <v>1768</v>
      </c>
    </row>
    <row r="285" spans="1:5">
      <c r="A285" s="68" t="s">
        <v>1423</v>
      </c>
      <c r="B285" s="55" t="s">
        <v>302</v>
      </c>
      <c r="C285" s="55" t="s">
        <v>310</v>
      </c>
      <c r="D285" s="55" t="s">
        <v>135</v>
      </c>
      <c r="E285" s="72" t="s">
        <v>1769</v>
      </c>
    </row>
    <row r="286" spans="1:5">
      <c r="A286" s="68" t="s">
        <v>1557</v>
      </c>
      <c r="B286" s="55" t="s">
        <v>416</v>
      </c>
      <c r="C286" s="55" t="s">
        <v>104</v>
      </c>
      <c r="D286" s="55" t="s">
        <v>149</v>
      </c>
      <c r="E286" s="72" t="s">
        <v>1770</v>
      </c>
    </row>
    <row r="287" spans="1:5">
      <c r="A287" s="68" t="s">
        <v>1379</v>
      </c>
      <c r="B287" s="55" t="s">
        <v>302</v>
      </c>
      <c r="C287" s="55" t="s">
        <v>287</v>
      </c>
      <c r="D287" s="55" t="s">
        <v>170</v>
      </c>
      <c r="E287" s="72" t="s">
        <v>1771</v>
      </c>
    </row>
    <row r="288" spans="1:5">
      <c r="A288" s="68" t="s">
        <v>1397</v>
      </c>
      <c r="B288" s="55" t="s">
        <v>416</v>
      </c>
      <c r="C288" s="55" t="s">
        <v>293</v>
      </c>
      <c r="D288" s="55" t="s">
        <v>1292</v>
      </c>
      <c r="E288" s="72" t="s">
        <v>1772</v>
      </c>
    </row>
    <row r="289" spans="1:5">
      <c r="A289" s="68" t="s">
        <v>1361</v>
      </c>
      <c r="B289" s="55" t="s">
        <v>302</v>
      </c>
      <c r="C289" s="55" t="s">
        <v>289</v>
      </c>
      <c r="D289" s="55" t="s">
        <v>165</v>
      </c>
      <c r="E289" s="72" t="s">
        <v>1773</v>
      </c>
    </row>
    <row r="290" spans="1:5">
      <c r="A290" s="68" t="s">
        <v>1390</v>
      </c>
      <c r="B290" s="55" t="s">
        <v>302</v>
      </c>
      <c r="C290" s="55" t="s">
        <v>293</v>
      </c>
      <c r="D290" s="55" t="s">
        <v>772</v>
      </c>
      <c r="E290" s="72" t="s">
        <v>1774</v>
      </c>
    </row>
    <row r="291" spans="1:5">
      <c r="A291" s="68" t="s">
        <v>1364</v>
      </c>
      <c r="B291" s="55" t="s">
        <v>302</v>
      </c>
      <c r="C291" s="55" t="s">
        <v>289</v>
      </c>
      <c r="D291" s="55" t="s">
        <v>482</v>
      </c>
      <c r="E291" s="72" t="s">
        <v>1775</v>
      </c>
    </row>
    <row r="292" spans="1:5">
      <c r="A292" s="68" t="s">
        <v>1367</v>
      </c>
      <c r="B292" s="55" t="s">
        <v>302</v>
      </c>
      <c r="C292" s="55" t="s">
        <v>289</v>
      </c>
      <c r="D292" s="55" t="s">
        <v>482</v>
      </c>
      <c r="E292" s="72" t="s">
        <v>1776</v>
      </c>
    </row>
    <row r="293" spans="1:5">
      <c r="A293" s="68" t="s">
        <v>1348</v>
      </c>
      <c r="B293" s="55" t="s">
        <v>302</v>
      </c>
      <c r="C293" s="55" t="s">
        <v>411</v>
      </c>
      <c r="D293" s="55" t="s">
        <v>125</v>
      </c>
      <c r="E293" s="72" t="s">
        <v>1777</v>
      </c>
    </row>
    <row r="294" spans="1:5">
      <c r="A294" s="68" t="s">
        <v>1369</v>
      </c>
      <c r="B294" s="55" t="s">
        <v>302</v>
      </c>
      <c r="C294" s="55" t="s">
        <v>289</v>
      </c>
      <c r="D294" s="55" t="s">
        <v>134</v>
      </c>
      <c r="E294" s="72" t="s">
        <v>1778</v>
      </c>
    </row>
    <row r="296" spans="1:5" ht="14.25">
      <c r="A296" s="69" t="s">
        <v>92</v>
      </c>
      <c r="B296" s="70"/>
    </row>
    <row r="297" spans="1:5" ht="15">
      <c r="A297" s="71" t="s">
        <v>0</v>
      </c>
      <c r="B297" s="71" t="s">
        <v>93</v>
      </c>
      <c r="C297" s="71" t="s">
        <v>94</v>
      </c>
      <c r="D297" s="71" t="s">
        <v>7</v>
      </c>
      <c r="E297" s="71" t="s">
        <v>95</v>
      </c>
    </row>
    <row r="298" spans="1:5">
      <c r="A298" s="68" t="s">
        <v>1409</v>
      </c>
      <c r="B298" s="55" t="s">
        <v>96</v>
      </c>
      <c r="C298" s="55" t="s">
        <v>293</v>
      </c>
      <c r="D298" s="55" t="s">
        <v>33</v>
      </c>
      <c r="E298" s="72" t="s">
        <v>1779</v>
      </c>
    </row>
    <row r="299" spans="1:5">
      <c r="A299" s="68" t="s">
        <v>1472</v>
      </c>
      <c r="B299" s="55" t="s">
        <v>96</v>
      </c>
      <c r="C299" s="55" t="s">
        <v>97</v>
      </c>
      <c r="D299" s="55" t="s">
        <v>235</v>
      </c>
      <c r="E299" s="72" t="s">
        <v>1780</v>
      </c>
    </row>
    <row r="300" spans="1:5">
      <c r="A300" s="68" t="s">
        <v>1705</v>
      </c>
      <c r="B300" s="55" t="s">
        <v>96</v>
      </c>
      <c r="C300" s="55" t="s">
        <v>1781</v>
      </c>
      <c r="D300" s="55" t="s">
        <v>61</v>
      </c>
      <c r="E300" s="72" t="s">
        <v>1782</v>
      </c>
    </row>
    <row r="301" spans="1:5">
      <c r="A301" s="68" t="s">
        <v>1602</v>
      </c>
      <c r="B301" s="55" t="s">
        <v>96</v>
      </c>
      <c r="C301" s="55" t="s">
        <v>101</v>
      </c>
      <c r="D301" s="55" t="s">
        <v>67</v>
      </c>
      <c r="E301" s="72" t="s">
        <v>1783</v>
      </c>
    </row>
    <row r="302" spans="1:5">
      <c r="A302" s="68" t="s">
        <v>1564</v>
      </c>
      <c r="B302" s="55" t="s">
        <v>96</v>
      </c>
      <c r="C302" s="55" t="s">
        <v>104</v>
      </c>
      <c r="D302" s="55" t="s">
        <v>235</v>
      </c>
      <c r="E302" s="72" t="s">
        <v>1784</v>
      </c>
    </row>
    <row r="303" spans="1:5">
      <c r="A303" s="68" t="s">
        <v>1606</v>
      </c>
      <c r="B303" s="55" t="s">
        <v>96</v>
      </c>
      <c r="C303" s="55" t="s">
        <v>101</v>
      </c>
      <c r="D303" s="55" t="s">
        <v>54</v>
      </c>
      <c r="E303" s="72" t="s">
        <v>1785</v>
      </c>
    </row>
    <row r="304" spans="1:5">
      <c r="A304" s="68" t="s">
        <v>1566</v>
      </c>
      <c r="B304" s="55" t="s">
        <v>96</v>
      </c>
      <c r="C304" s="55" t="s">
        <v>104</v>
      </c>
      <c r="D304" s="55" t="s">
        <v>42</v>
      </c>
      <c r="E304" s="72" t="s">
        <v>1786</v>
      </c>
    </row>
    <row r="305" spans="1:5">
      <c r="A305" s="68" t="s">
        <v>1568</v>
      </c>
      <c r="B305" s="55" t="s">
        <v>96</v>
      </c>
      <c r="C305" s="55" t="s">
        <v>104</v>
      </c>
      <c r="D305" s="55" t="s">
        <v>178</v>
      </c>
      <c r="E305" s="72" t="s">
        <v>1787</v>
      </c>
    </row>
    <row r="306" spans="1:5">
      <c r="A306" s="68" t="s">
        <v>1428</v>
      </c>
      <c r="B306" s="55" t="s">
        <v>96</v>
      </c>
      <c r="C306" s="55" t="s">
        <v>310</v>
      </c>
      <c r="D306" s="55" t="s">
        <v>24</v>
      </c>
      <c r="E306" s="72" t="s">
        <v>1788</v>
      </c>
    </row>
    <row r="307" spans="1:5">
      <c r="A307" s="68" t="s">
        <v>948</v>
      </c>
      <c r="B307" s="55" t="s">
        <v>96</v>
      </c>
      <c r="C307" s="55" t="s">
        <v>104</v>
      </c>
      <c r="D307" s="55" t="s">
        <v>32</v>
      </c>
      <c r="E307" s="72" t="s">
        <v>1789</v>
      </c>
    </row>
    <row r="308" spans="1:5">
      <c r="A308" s="68" t="s">
        <v>1511</v>
      </c>
      <c r="B308" s="55" t="s">
        <v>96</v>
      </c>
      <c r="C308" s="55" t="s">
        <v>111</v>
      </c>
      <c r="D308" s="55" t="s">
        <v>126</v>
      </c>
      <c r="E308" s="72" t="s">
        <v>1790</v>
      </c>
    </row>
    <row r="309" spans="1:5">
      <c r="A309" s="68" t="s">
        <v>1431</v>
      </c>
      <c r="B309" s="55" t="s">
        <v>96</v>
      </c>
      <c r="C309" s="55" t="s">
        <v>310</v>
      </c>
      <c r="D309" s="55" t="s">
        <v>22</v>
      </c>
      <c r="E309" s="72" t="s">
        <v>1791</v>
      </c>
    </row>
    <row r="311" spans="1:5" ht="14.25">
      <c r="A311" s="69" t="s">
        <v>100</v>
      </c>
      <c r="B311" s="70"/>
    </row>
    <row r="312" spans="1:5" ht="15">
      <c r="A312" s="71" t="s">
        <v>0</v>
      </c>
      <c r="B312" s="71" t="s">
        <v>93</v>
      </c>
      <c r="C312" s="71" t="s">
        <v>94</v>
      </c>
      <c r="D312" s="71" t="s">
        <v>7</v>
      </c>
      <c r="E312" s="71" t="s">
        <v>95</v>
      </c>
    </row>
    <row r="313" spans="1:5">
      <c r="A313" s="68" t="s">
        <v>1657</v>
      </c>
      <c r="B313" s="55" t="s">
        <v>100</v>
      </c>
      <c r="C313" s="55" t="s">
        <v>304</v>
      </c>
      <c r="D313" s="55" t="s">
        <v>195</v>
      </c>
      <c r="E313" s="72" t="s">
        <v>1792</v>
      </c>
    </row>
    <row r="314" spans="1:5">
      <c r="A314" s="68" t="s">
        <v>1514</v>
      </c>
      <c r="B314" s="55" t="s">
        <v>100</v>
      </c>
      <c r="C314" s="55" t="s">
        <v>111</v>
      </c>
      <c r="D314" s="55" t="s">
        <v>378</v>
      </c>
      <c r="E314" s="72" t="s">
        <v>1793</v>
      </c>
    </row>
    <row r="315" spans="1:5">
      <c r="A315" s="68" t="s">
        <v>1683</v>
      </c>
      <c r="B315" s="55" t="s">
        <v>100</v>
      </c>
      <c r="C315" s="55" t="s">
        <v>654</v>
      </c>
      <c r="D315" s="55" t="s">
        <v>36</v>
      </c>
      <c r="E315" s="72" t="s">
        <v>1794</v>
      </c>
    </row>
    <row r="316" spans="1:5">
      <c r="A316" s="68" t="s">
        <v>1436</v>
      </c>
      <c r="B316" s="55" t="s">
        <v>100</v>
      </c>
      <c r="C316" s="55" t="s">
        <v>310</v>
      </c>
      <c r="D316" s="55" t="s">
        <v>67</v>
      </c>
      <c r="E316" s="72" t="s">
        <v>1795</v>
      </c>
    </row>
    <row r="317" spans="1:5">
      <c r="A317" s="68" t="s">
        <v>1608</v>
      </c>
      <c r="B317" s="55" t="s">
        <v>100</v>
      </c>
      <c r="C317" s="55" t="s">
        <v>101</v>
      </c>
      <c r="D317" s="55" t="s">
        <v>211</v>
      </c>
      <c r="E317" s="72" t="s">
        <v>1796</v>
      </c>
    </row>
    <row r="318" spans="1:5">
      <c r="A318" s="68" t="s">
        <v>1612</v>
      </c>
      <c r="B318" s="55" t="s">
        <v>100</v>
      </c>
      <c r="C318" s="55" t="s">
        <v>101</v>
      </c>
      <c r="D318" s="55" t="s">
        <v>31</v>
      </c>
      <c r="E318" s="72" t="s">
        <v>1797</v>
      </c>
    </row>
    <row r="319" spans="1:5">
      <c r="A319" s="68" t="s">
        <v>1443</v>
      </c>
      <c r="B319" s="55" t="s">
        <v>100</v>
      </c>
      <c r="C319" s="55" t="s">
        <v>310</v>
      </c>
      <c r="D319" s="55" t="s">
        <v>42</v>
      </c>
      <c r="E319" s="72" t="s">
        <v>1798</v>
      </c>
    </row>
    <row r="320" spans="1:5">
      <c r="A320" s="68" t="s">
        <v>1474</v>
      </c>
      <c r="B320" s="55" t="s">
        <v>100</v>
      </c>
      <c r="C320" s="55" t="s">
        <v>97</v>
      </c>
      <c r="D320" s="55" t="s">
        <v>21</v>
      </c>
      <c r="E320" s="72" t="s">
        <v>1799</v>
      </c>
    </row>
    <row r="321" spans="1:5">
      <c r="A321" s="68" t="s">
        <v>1439</v>
      </c>
      <c r="B321" s="55" t="s">
        <v>100</v>
      </c>
      <c r="C321" s="55" t="s">
        <v>310</v>
      </c>
      <c r="D321" s="55" t="s">
        <v>43</v>
      </c>
      <c r="E321" s="72" t="s">
        <v>1800</v>
      </c>
    </row>
    <row r="322" spans="1:5">
      <c r="A322" s="68" t="s">
        <v>1615</v>
      </c>
      <c r="B322" s="55" t="s">
        <v>100</v>
      </c>
      <c r="C322" s="55" t="s">
        <v>101</v>
      </c>
      <c r="D322" s="55" t="s">
        <v>831</v>
      </c>
      <c r="E322" s="72" t="s">
        <v>1801</v>
      </c>
    </row>
    <row r="323" spans="1:5">
      <c r="A323" s="68" t="s">
        <v>1476</v>
      </c>
      <c r="B323" s="55" t="s">
        <v>100</v>
      </c>
      <c r="C323" s="55" t="s">
        <v>97</v>
      </c>
      <c r="D323" s="55" t="s">
        <v>235</v>
      </c>
      <c r="E323" s="72" t="s">
        <v>1802</v>
      </c>
    </row>
    <row r="324" spans="1:5">
      <c r="A324" s="68" t="s">
        <v>1708</v>
      </c>
      <c r="B324" s="55" t="s">
        <v>100</v>
      </c>
      <c r="C324" s="55" t="s">
        <v>1781</v>
      </c>
      <c r="D324" s="55" t="s">
        <v>44</v>
      </c>
      <c r="E324" s="72" t="s">
        <v>1803</v>
      </c>
    </row>
    <row r="325" spans="1:5">
      <c r="A325" s="68" t="s">
        <v>1575</v>
      </c>
      <c r="B325" s="55" t="s">
        <v>100</v>
      </c>
      <c r="C325" s="55" t="s">
        <v>104</v>
      </c>
      <c r="D325" s="55" t="s">
        <v>254</v>
      </c>
      <c r="E325" s="72" t="s">
        <v>1804</v>
      </c>
    </row>
    <row r="326" spans="1:5">
      <c r="A326" s="68" t="s">
        <v>1578</v>
      </c>
      <c r="B326" s="55" t="s">
        <v>100</v>
      </c>
      <c r="C326" s="55" t="s">
        <v>104</v>
      </c>
      <c r="D326" s="55" t="s">
        <v>83</v>
      </c>
      <c r="E326" s="72" t="s">
        <v>1805</v>
      </c>
    </row>
    <row r="327" spans="1:5">
      <c r="A327" s="68" t="s">
        <v>1516</v>
      </c>
      <c r="B327" s="55" t="s">
        <v>100</v>
      </c>
      <c r="C327" s="55" t="s">
        <v>111</v>
      </c>
      <c r="D327" s="55" t="s">
        <v>21</v>
      </c>
      <c r="E327" s="72" t="s">
        <v>1806</v>
      </c>
    </row>
    <row r="328" spans="1:5">
      <c r="A328" s="68" t="s">
        <v>1412</v>
      </c>
      <c r="B328" s="55" t="s">
        <v>100</v>
      </c>
      <c r="C328" s="55" t="s">
        <v>293</v>
      </c>
      <c r="D328" s="55" t="s">
        <v>883</v>
      </c>
      <c r="E328" s="72" t="s">
        <v>1807</v>
      </c>
    </row>
    <row r="329" spans="1:5">
      <c r="A329" s="68" t="s">
        <v>1414</v>
      </c>
      <c r="B329" s="55" t="s">
        <v>100</v>
      </c>
      <c r="C329" s="55" t="s">
        <v>293</v>
      </c>
      <c r="D329" s="55" t="s">
        <v>19</v>
      </c>
      <c r="E329" s="72" t="s">
        <v>1808</v>
      </c>
    </row>
    <row r="330" spans="1:5">
      <c r="A330" s="68" t="s">
        <v>1478</v>
      </c>
      <c r="B330" s="55" t="s">
        <v>100</v>
      </c>
      <c r="C330" s="55" t="s">
        <v>97</v>
      </c>
      <c r="D330" s="55" t="s">
        <v>20</v>
      </c>
      <c r="E330" s="72" t="s">
        <v>1809</v>
      </c>
    </row>
    <row r="331" spans="1:5">
      <c r="A331" s="68" t="s">
        <v>1581</v>
      </c>
      <c r="B331" s="55" t="s">
        <v>100</v>
      </c>
      <c r="C331" s="55" t="s">
        <v>104</v>
      </c>
      <c r="D331" s="55" t="s">
        <v>67</v>
      </c>
      <c r="E331" s="72" t="s">
        <v>1810</v>
      </c>
    </row>
    <row r="332" spans="1:5">
      <c r="A332" s="68" t="s">
        <v>1519</v>
      </c>
      <c r="B332" s="55" t="s">
        <v>100</v>
      </c>
      <c r="C332" s="55" t="s">
        <v>111</v>
      </c>
      <c r="D332" s="55" t="s">
        <v>54</v>
      </c>
      <c r="E332" s="72" t="s">
        <v>1811</v>
      </c>
    </row>
    <row r="333" spans="1:5">
      <c r="A333" s="68" t="s">
        <v>1521</v>
      </c>
      <c r="B333" s="55" t="s">
        <v>100</v>
      </c>
      <c r="C333" s="55" t="s">
        <v>111</v>
      </c>
      <c r="D333" s="55" t="s">
        <v>54</v>
      </c>
      <c r="E333" s="72" t="s">
        <v>1812</v>
      </c>
    </row>
    <row r="334" spans="1:5">
      <c r="A334" s="68" t="s">
        <v>1712</v>
      </c>
      <c r="B334" s="55" t="s">
        <v>100</v>
      </c>
      <c r="C334" s="55" t="s">
        <v>1781</v>
      </c>
      <c r="D334" s="55" t="s">
        <v>44</v>
      </c>
      <c r="E334" s="72" t="s">
        <v>1813</v>
      </c>
    </row>
    <row r="335" spans="1:5">
      <c r="A335" s="68" t="s">
        <v>1617</v>
      </c>
      <c r="B335" s="55" t="s">
        <v>100</v>
      </c>
      <c r="C335" s="55" t="s">
        <v>101</v>
      </c>
      <c r="D335" s="55" t="s">
        <v>67</v>
      </c>
      <c r="E335" s="72" t="s">
        <v>1814</v>
      </c>
    </row>
    <row r="336" spans="1:5">
      <c r="A336" s="68" t="s">
        <v>250</v>
      </c>
      <c r="B336" s="55" t="s">
        <v>100</v>
      </c>
      <c r="C336" s="55" t="s">
        <v>101</v>
      </c>
      <c r="D336" s="55" t="s">
        <v>67</v>
      </c>
      <c r="E336" s="72" t="s">
        <v>1815</v>
      </c>
    </row>
    <row r="338" spans="1:5" ht="14.25">
      <c r="A338" s="69" t="s">
        <v>297</v>
      </c>
      <c r="B338" s="70"/>
    </row>
    <row r="339" spans="1:5" ht="15">
      <c r="A339" s="71" t="s">
        <v>0</v>
      </c>
      <c r="B339" s="71" t="s">
        <v>93</v>
      </c>
      <c r="C339" s="71" t="s">
        <v>94</v>
      </c>
      <c r="D339" s="71" t="s">
        <v>7</v>
      </c>
      <c r="E339" s="71" t="s">
        <v>95</v>
      </c>
    </row>
    <row r="340" spans="1:5">
      <c r="A340" s="68" t="s">
        <v>1461</v>
      </c>
      <c r="B340" s="55" t="s">
        <v>340</v>
      </c>
      <c r="C340" s="55" t="s">
        <v>310</v>
      </c>
      <c r="D340" s="55" t="s">
        <v>270</v>
      </c>
      <c r="E340" s="72" t="s">
        <v>1816</v>
      </c>
    </row>
    <row r="341" spans="1:5">
      <c r="A341" s="68" t="s">
        <v>1405</v>
      </c>
      <c r="B341" s="55" t="s">
        <v>665</v>
      </c>
      <c r="C341" s="55" t="s">
        <v>310</v>
      </c>
      <c r="D341" s="55" t="s">
        <v>23</v>
      </c>
      <c r="E341" s="72" t="s">
        <v>1817</v>
      </c>
    </row>
    <row r="342" spans="1:5">
      <c r="A342" s="68" t="s">
        <v>1678</v>
      </c>
      <c r="B342" s="55" t="s">
        <v>659</v>
      </c>
      <c r="C342" s="55" t="s">
        <v>304</v>
      </c>
      <c r="D342" s="55" t="s">
        <v>831</v>
      </c>
      <c r="E342" s="72" t="s">
        <v>1818</v>
      </c>
    </row>
    <row r="343" spans="1:5">
      <c r="A343" s="68" t="s">
        <v>1503</v>
      </c>
      <c r="B343" s="55" t="s">
        <v>661</v>
      </c>
      <c r="C343" s="55" t="s">
        <v>97</v>
      </c>
      <c r="D343" s="55" t="s">
        <v>33</v>
      </c>
      <c r="E343" s="72" t="s">
        <v>1819</v>
      </c>
    </row>
    <row r="344" spans="1:5">
      <c r="A344" s="68" t="s">
        <v>1552</v>
      </c>
      <c r="B344" s="55" t="s">
        <v>659</v>
      </c>
      <c r="C344" s="55" t="s">
        <v>111</v>
      </c>
      <c r="D344" s="55" t="s">
        <v>42</v>
      </c>
      <c r="E344" s="72" t="s">
        <v>1820</v>
      </c>
    </row>
    <row r="345" spans="1:5">
      <c r="A345" s="68" t="s">
        <v>1665</v>
      </c>
      <c r="B345" s="55" t="s">
        <v>298</v>
      </c>
      <c r="C345" s="55" t="s">
        <v>304</v>
      </c>
      <c r="D345" s="55" t="s">
        <v>565</v>
      </c>
      <c r="E345" s="72" t="s">
        <v>1821</v>
      </c>
    </row>
    <row r="346" spans="1:5">
      <c r="A346" s="68" t="s">
        <v>1458</v>
      </c>
      <c r="B346" s="55" t="s">
        <v>659</v>
      </c>
      <c r="C346" s="55" t="s">
        <v>310</v>
      </c>
      <c r="D346" s="55" t="s">
        <v>355</v>
      </c>
      <c r="E346" s="72" t="s">
        <v>1822</v>
      </c>
    </row>
    <row r="347" spans="1:5">
      <c r="A347" s="68" t="s">
        <v>1719</v>
      </c>
      <c r="B347" s="55" t="s">
        <v>435</v>
      </c>
      <c r="C347" s="55" t="s">
        <v>1781</v>
      </c>
      <c r="D347" s="55" t="s">
        <v>186</v>
      </c>
      <c r="E347" s="72" t="s">
        <v>1823</v>
      </c>
    </row>
    <row r="348" spans="1:5">
      <c r="A348" s="68" t="s">
        <v>1600</v>
      </c>
      <c r="B348" s="55" t="s">
        <v>661</v>
      </c>
      <c r="C348" s="55" t="s">
        <v>104</v>
      </c>
      <c r="D348" s="55" t="s">
        <v>194</v>
      </c>
      <c r="E348" s="72" t="s">
        <v>1824</v>
      </c>
    </row>
    <row r="349" spans="1:5">
      <c r="A349" s="68" t="s">
        <v>1645</v>
      </c>
      <c r="B349" s="55" t="s">
        <v>661</v>
      </c>
      <c r="C349" s="55" t="s">
        <v>101</v>
      </c>
      <c r="D349" s="55" t="s">
        <v>34</v>
      </c>
      <c r="E349" s="72" t="s">
        <v>1825</v>
      </c>
    </row>
    <row r="350" spans="1:5">
      <c r="A350" s="68" t="s">
        <v>1699</v>
      </c>
      <c r="B350" s="55" t="s">
        <v>659</v>
      </c>
      <c r="C350" s="55" t="s">
        <v>654</v>
      </c>
      <c r="D350" s="55" t="s">
        <v>43</v>
      </c>
      <c r="E350" s="72" t="s">
        <v>1826</v>
      </c>
    </row>
    <row r="351" spans="1:5">
      <c r="A351" s="68" t="s">
        <v>1546</v>
      </c>
      <c r="B351" s="55" t="s">
        <v>435</v>
      </c>
      <c r="C351" s="55" t="s">
        <v>111</v>
      </c>
      <c r="D351" s="55" t="s">
        <v>178</v>
      </c>
      <c r="E351" s="72" t="s">
        <v>1827</v>
      </c>
    </row>
    <row r="352" spans="1:5">
      <c r="A352" s="68" t="s">
        <v>1681</v>
      </c>
      <c r="B352" s="55" t="s">
        <v>661</v>
      </c>
      <c r="C352" s="55" t="s">
        <v>304</v>
      </c>
      <c r="D352" s="55" t="s">
        <v>42</v>
      </c>
      <c r="E352" s="72" t="s">
        <v>1828</v>
      </c>
    </row>
    <row r="353" spans="1:5">
      <c r="A353" s="68" t="s">
        <v>1672</v>
      </c>
      <c r="B353" s="55" t="s">
        <v>435</v>
      </c>
      <c r="C353" s="55" t="s">
        <v>304</v>
      </c>
      <c r="D353" s="55" t="s">
        <v>83</v>
      </c>
      <c r="E353" s="72" t="s">
        <v>1829</v>
      </c>
    </row>
    <row r="354" spans="1:5">
      <c r="A354" s="68" t="s">
        <v>1662</v>
      </c>
      <c r="B354" s="55" t="s">
        <v>343</v>
      </c>
      <c r="C354" s="55" t="s">
        <v>304</v>
      </c>
      <c r="D354" s="55" t="s">
        <v>44</v>
      </c>
      <c r="E354" s="72" t="s">
        <v>1830</v>
      </c>
    </row>
    <row r="355" spans="1:5">
      <c r="A355" s="68" t="s">
        <v>1419</v>
      </c>
      <c r="B355" s="55" t="s">
        <v>665</v>
      </c>
      <c r="C355" s="55" t="s">
        <v>293</v>
      </c>
      <c r="D355" s="55" t="s">
        <v>136</v>
      </c>
      <c r="E355" s="72" t="s">
        <v>1831</v>
      </c>
    </row>
    <row r="356" spans="1:5">
      <c r="A356" s="68" t="s">
        <v>1536</v>
      </c>
      <c r="B356" s="55" t="s">
        <v>343</v>
      </c>
      <c r="C356" s="55" t="s">
        <v>111</v>
      </c>
      <c r="D356" s="55" t="s">
        <v>227</v>
      </c>
      <c r="E356" s="72" t="s">
        <v>1832</v>
      </c>
    </row>
    <row r="357" spans="1:5">
      <c r="A357" s="68" t="s">
        <v>1675</v>
      </c>
      <c r="B357" s="55" t="s">
        <v>435</v>
      </c>
      <c r="C357" s="55" t="s">
        <v>304</v>
      </c>
      <c r="D357" s="55" t="s">
        <v>83</v>
      </c>
      <c r="E357" s="72" t="s">
        <v>1833</v>
      </c>
    </row>
    <row r="358" spans="1:5">
      <c r="A358" s="68" t="s">
        <v>1708</v>
      </c>
      <c r="B358" s="55" t="s">
        <v>343</v>
      </c>
      <c r="C358" s="55" t="s">
        <v>1781</v>
      </c>
      <c r="D358" s="55" t="s">
        <v>44</v>
      </c>
      <c r="E358" s="72" t="s">
        <v>1834</v>
      </c>
    </row>
    <row r="359" spans="1:5">
      <c r="A359" s="68" t="s">
        <v>1452</v>
      </c>
      <c r="B359" s="55" t="s">
        <v>343</v>
      </c>
      <c r="C359" s="55" t="s">
        <v>310</v>
      </c>
      <c r="D359" s="55" t="s">
        <v>178</v>
      </c>
      <c r="E359" s="72" t="s">
        <v>1835</v>
      </c>
    </row>
    <row r="360" spans="1:5">
      <c r="A360" s="68" t="s">
        <v>1617</v>
      </c>
      <c r="B360" s="55" t="s">
        <v>343</v>
      </c>
      <c r="C360" s="55" t="s">
        <v>101</v>
      </c>
      <c r="D360" s="55" t="s">
        <v>188</v>
      </c>
      <c r="E360" s="72" t="s">
        <v>1836</v>
      </c>
    </row>
    <row r="361" spans="1:5">
      <c r="A361" s="68" t="s">
        <v>1593</v>
      </c>
      <c r="B361" s="55" t="s">
        <v>298</v>
      </c>
      <c r="C361" s="55" t="s">
        <v>104</v>
      </c>
      <c r="D361" s="55" t="s">
        <v>54</v>
      </c>
      <c r="E361" s="72" t="s">
        <v>1837</v>
      </c>
    </row>
    <row r="362" spans="1:5">
      <c r="A362" s="68" t="s">
        <v>1555</v>
      </c>
      <c r="B362" s="55" t="s">
        <v>661</v>
      </c>
      <c r="C362" s="55" t="s">
        <v>111</v>
      </c>
      <c r="D362" s="55" t="s">
        <v>400</v>
      </c>
      <c r="E362" s="72" t="s">
        <v>1838</v>
      </c>
    </row>
    <row r="363" spans="1:5">
      <c r="A363" s="68" t="s">
        <v>1496</v>
      </c>
      <c r="B363" s="55" t="s">
        <v>298</v>
      </c>
      <c r="C363" s="55" t="s">
        <v>97</v>
      </c>
      <c r="D363" s="55" t="s">
        <v>34</v>
      </c>
      <c r="E363" s="72" t="s">
        <v>1839</v>
      </c>
    </row>
  </sheetData>
  <mergeCells count="30">
    <mergeCell ref="A163:L163"/>
    <mergeCell ref="A183:L183"/>
    <mergeCell ref="A197:L197"/>
    <mergeCell ref="A206:L206"/>
    <mergeCell ref="A65:L65"/>
    <mergeCell ref="A72:L72"/>
    <mergeCell ref="A84:L84"/>
    <mergeCell ref="A101:L101"/>
    <mergeCell ref="A120:L120"/>
    <mergeCell ref="A144:L144"/>
    <mergeCell ref="A23:L23"/>
    <mergeCell ref="A29:L29"/>
    <mergeCell ref="A37:L37"/>
    <mergeCell ref="A46:L46"/>
    <mergeCell ref="A50:L50"/>
    <mergeCell ref="A55:L55"/>
    <mergeCell ref="K3:K4"/>
    <mergeCell ref="L3:L4"/>
    <mergeCell ref="M3:M4"/>
    <mergeCell ref="A5:L5"/>
    <mergeCell ref="A9:L9"/>
    <mergeCell ref="A15:L1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AWPC multy ply deadlift</vt:lpstr>
      <vt:lpstr>AWPC 1-ply deadlift</vt:lpstr>
      <vt:lpstr>AWPC raw deadlift</vt:lpstr>
      <vt:lpstr>WPC multy ply deadlift</vt:lpstr>
      <vt:lpstr>WPC 1-ply deadlift</vt:lpstr>
      <vt:lpstr>WPC raw deadlift</vt:lpstr>
      <vt:lpstr>AWPC multi ply benchpress</vt:lpstr>
      <vt:lpstr>AWPC single ply benchpress</vt:lpstr>
      <vt:lpstr>AWPC raw benchpress</vt:lpstr>
      <vt:lpstr>AWPC multi ply powerlifting</vt:lpstr>
      <vt:lpstr>AWPC single ply powerlifting</vt:lpstr>
      <vt:lpstr>AWPC raw powerlifting</vt:lpstr>
      <vt:lpstr>WPC multi ply benchpress</vt:lpstr>
      <vt:lpstr>WPC single ply benchpress</vt:lpstr>
      <vt:lpstr>WPC raw benchpress</vt:lpstr>
      <vt:lpstr>WPC multi ply powerlifting</vt:lpstr>
      <vt:lpstr>WPC single ply powerlifting</vt:lpstr>
      <vt:lpstr>WPC raw powerlifting</vt:lpstr>
      <vt:lpstr>AWPC classic raw powerlifting</vt:lpstr>
      <vt:lpstr>WPC classic raw powerlifting</vt:lpstr>
      <vt:lpstr>NB WPC 1 bw</vt:lpstr>
      <vt:lpstr>NB AWPC 1 bw</vt:lpstr>
      <vt:lpstr>NB WPC half bw</vt:lpstr>
      <vt:lpstr>NB AWPC half bw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user</cp:lastModifiedBy>
  <cp:lastPrinted>2008-02-22T21:19:54Z</cp:lastPrinted>
  <dcterms:created xsi:type="dcterms:W3CDTF">2002-06-16T13:36:44Z</dcterms:created>
  <dcterms:modified xsi:type="dcterms:W3CDTF">2016-08-14T23:51:28Z</dcterms:modified>
</cp:coreProperties>
</file>